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60" yWindow="0" windowWidth="27980" windowHeight="16080" tabRatio="723" activeTab="3"/>
  </bookViews>
  <sheets>
    <sheet name="1927 Lat, Long -&gt; X, Y" sheetId="1" r:id="rId1"/>
    <sheet name="1927 X, Y -&gt; Lat, Long" sheetId="2" r:id="rId2"/>
    <sheet name="NAD27 to NAD83 Conversion" sheetId="3" state="hidden" r:id="rId3"/>
    <sheet name="1983 Lat, Long -&gt; E, N" sheetId="4" r:id="rId4"/>
    <sheet name="1983 E, N -&gt; Lat, Long" sheetId="5" r:id="rId5"/>
  </sheets>
  <definedNames/>
  <calcPr fullCalcOnLoad="1"/>
</workbook>
</file>

<file path=xl/sharedStrings.xml><?xml version="1.0" encoding="utf-8"?>
<sst xmlns="http://schemas.openxmlformats.org/spreadsheetml/2006/main" count="423" uniqueCount="236">
  <si>
    <r>
      <t>False Easting    X</t>
    </r>
    <r>
      <rPr>
        <b/>
        <vertAlign val="subscript"/>
        <sz val="10"/>
        <rFont val="Verdana"/>
        <family val="0"/>
      </rPr>
      <t>0</t>
    </r>
  </si>
  <si>
    <t>Clarke 1866</t>
  </si>
  <si>
    <t>Easting        X</t>
  </si>
  <si>
    <t>Northing      Y</t>
  </si>
  <si>
    <t>Enter the latitude and longitude of the point in question, together with</t>
  </si>
  <si>
    <t>the origin of the projection. Also enter the offset (false origin) values</t>
  </si>
  <si>
    <t>for the origin point.</t>
  </si>
  <si>
    <t>All data entry occurs in the boxes with the red border.</t>
  </si>
  <si>
    <t>The results are returned in the boxes with the green border.</t>
  </si>
  <si>
    <t>The results are the E and N co-ordinates of the point, together with</t>
  </si>
  <si>
    <r>
      <t>the point scale factor at the point (k), and its grid convergence (</t>
    </r>
    <r>
      <rPr>
        <sz val="10"/>
        <rFont val="Symbol"/>
        <family val="0"/>
      </rPr>
      <t>g</t>
    </r>
    <r>
      <rPr>
        <sz val="10"/>
        <rFont val="Verdana"/>
        <family val="0"/>
      </rPr>
      <t>).</t>
    </r>
  </si>
  <si>
    <t>Entered values for angular measure should be made in HP calculator</t>
  </si>
  <si>
    <t>format, D.MMSSssss, which will be formatted into something more</t>
  </si>
  <si>
    <t>US Survey feet for the various values. Enter latitudes and longitudes in</t>
  </si>
  <si>
    <t>Data returned are the co-ordinates of the entered point, in US Survey feet,</t>
  </si>
  <si>
    <t>© 1998-2005 N.W.J. Hazelton. This spreadsheet may be distributed freely,</t>
  </si>
  <si>
    <t>Values should be entered as DDD.MMSSsss (HP calculator format)</t>
  </si>
  <si>
    <t>and will be re-formatted after &lt;Enter&gt; is pressed.</t>
  </si>
  <si>
    <t>Key in geodetic latitude of point, North positive.</t>
  </si>
  <si>
    <t>Key in geodetic longitude of point, West positive.</t>
  </si>
  <si>
    <t>Key in ellipsoidal height in meters (zero will give you the</t>
  </si>
  <si>
    <t>value to be used for correction).</t>
  </si>
  <si>
    <t>The NAD83 values will be returned in the blue outlined area.</t>
  </si>
  <si>
    <t>The values are in HP calculator format, but with DMS notation</t>
  </si>
  <si>
    <t>All values are worked in meters on SPCS 1983. You will have to</t>
  </si>
  <si>
    <t>convert the co-ordinates to the feet of your chosing, if you wish to</t>
  </si>
  <si>
    <t>do so.</t>
  </si>
  <si>
    <t>the central scale factor, and the latitude and longitude of</t>
  </si>
  <si>
    <t>Enter all input values into the boxes with the red borders.</t>
  </si>
  <si>
    <t>Enter angular measure in HP calculator format, D.MMSSssss, which will be converted</t>
  </si>
  <si>
    <t>into something more readable by the spreadsheet.</t>
  </si>
  <si>
    <t>The results are displayed in the boxes with the green border. The latitude and</t>
  </si>
  <si>
    <r>
      <t>longitude are returned, along with the scale factor (k) and grid convergence (</t>
    </r>
    <r>
      <rPr>
        <sz val="10"/>
        <rFont val="Symbol"/>
        <family val="0"/>
      </rPr>
      <t>g</t>
    </r>
    <r>
      <rPr>
        <sz val="10"/>
        <rFont val="Verdana"/>
        <family val="0"/>
      </rPr>
      <t>)</t>
    </r>
  </si>
  <si>
    <t>for the point.</t>
  </si>
  <si>
    <t>Enter the latitude and longitude of the zone, as well as the central scale factor.</t>
  </si>
  <si>
    <t xml:space="preserve">when using this product, and should check their work by </t>
  </si>
  <si>
    <t>independent means.</t>
  </si>
  <si>
    <t>©1998-2005 N.WJ. Hazelton.</t>
  </si>
  <si>
    <t>SPCS 1983 Zone</t>
  </si>
  <si>
    <t>Latitude Origin</t>
  </si>
  <si>
    <t>Geographical Co-ordinates to SPCS Co-ordinates</t>
  </si>
  <si>
    <t>a</t>
  </si>
  <si>
    <r>
      <t>e</t>
    </r>
    <r>
      <rPr>
        <vertAlign val="superscript"/>
        <sz val="10"/>
        <rFont val="Verdana"/>
        <family val="0"/>
      </rPr>
      <t>2</t>
    </r>
  </si>
  <si>
    <t>GRS80/WGS84</t>
  </si>
  <si>
    <t>Ellipsoid</t>
  </si>
  <si>
    <t>nu</t>
  </si>
  <si>
    <t>omega</t>
  </si>
  <si>
    <t>rho</t>
  </si>
  <si>
    <t>psi</t>
  </si>
  <si>
    <t>t</t>
  </si>
  <si>
    <t>A0</t>
  </si>
  <si>
    <t>A2</t>
  </si>
  <si>
    <t>A4</t>
  </si>
  <si>
    <t>A6</t>
  </si>
  <si>
    <t>latitude (rad)</t>
  </si>
  <si>
    <t>m lat</t>
  </si>
  <si>
    <t>m lat 0</t>
  </si>
  <si>
    <t>lat 0 (rad)</t>
  </si>
  <si>
    <t>E' (1)</t>
  </si>
  <si>
    <t>E' (2)</t>
  </si>
  <si>
    <t>E' (3)</t>
  </si>
  <si>
    <t>E' (4)</t>
  </si>
  <si>
    <t>E'</t>
  </si>
  <si>
    <t>N' (1)</t>
  </si>
  <si>
    <t>N' (2)</t>
  </si>
  <si>
    <t>N' (3)</t>
  </si>
  <si>
    <t>N' (4)</t>
  </si>
  <si>
    <t>N'</t>
  </si>
  <si>
    <t>No'</t>
  </si>
  <si>
    <t>lat 0</t>
  </si>
  <si>
    <t>lat</t>
  </si>
  <si>
    <t>G (1)</t>
  </si>
  <si>
    <t>G (2)</t>
  </si>
  <si>
    <t>G (3)</t>
  </si>
  <si>
    <t>G (4)</t>
  </si>
  <si>
    <t>G</t>
  </si>
  <si>
    <t>DDD.MMSS</t>
  </si>
  <si>
    <t>meters</t>
  </si>
  <si>
    <t>k (1)</t>
  </si>
  <si>
    <t>k (2)</t>
  </si>
  <si>
    <t>k (3)</t>
  </si>
  <si>
    <t>k</t>
  </si>
  <si>
    <r>
      <t xml:space="preserve">Central meridian </t>
    </r>
    <r>
      <rPr>
        <b/>
        <sz val="10"/>
        <rFont val="Symbol"/>
        <family val="0"/>
      </rPr>
      <t>l</t>
    </r>
    <r>
      <rPr>
        <b/>
        <vertAlign val="subscript"/>
        <sz val="10"/>
        <rFont val="Verdana"/>
        <family val="0"/>
      </rPr>
      <t>0</t>
    </r>
  </si>
  <si>
    <r>
      <t>Central scale factor k</t>
    </r>
    <r>
      <rPr>
        <b/>
        <vertAlign val="subscript"/>
        <sz val="10"/>
        <rFont val="Verdana"/>
        <family val="0"/>
      </rPr>
      <t>0</t>
    </r>
  </si>
  <si>
    <r>
      <t>False Easting  E</t>
    </r>
    <r>
      <rPr>
        <b/>
        <vertAlign val="subscript"/>
        <sz val="10"/>
        <rFont val="Verdana"/>
        <family val="0"/>
      </rPr>
      <t>0</t>
    </r>
  </si>
  <si>
    <t>Enter the E, N co-ordinates of the point. Enter the false Easting and Northing for the zone.</t>
  </si>
  <si>
    <t>Enter the latitude and longitude of the grid system's co-ordinate origin.</t>
  </si>
  <si>
    <t>All data entry occurs in the boxes with the red outline.</t>
  </si>
  <si>
    <t>The latitude and longitude of the point is returned in the green outlined areas.</t>
  </si>
  <si>
    <r>
      <t>Enter the values for X</t>
    </r>
    <r>
      <rPr>
        <vertAlign val="subscript"/>
        <sz val="10"/>
        <rFont val="Verdana"/>
        <family val="0"/>
      </rPr>
      <t>o</t>
    </r>
    <r>
      <rPr>
        <sz val="10"/>
        <rFont val="Verdana"/>
        <family val="0"/>
      </rPr>
      <t xml:space="preserve"> and Y</t>
    </r>
    <r>
      <rPr>
        <vertAlign val="subscript"/>
        <sz val="10"/>
        <rFont val="Verdana"/>
        <family val="0"/>
      </rPr>
      <t>o</t>
    </r>
    <r>
      <rPr>
        <sz val="10"/>
        <rFont val="Verdana"/>
        <family val="0"/>
      </rPr>
      <t xml:space="preserve"> (false origin).</t>
    </r>
  </si>
  <si>
    <t>Enter the central scale factor for the zone.</t>
  </si>
  <si>
    <t>Enter to X and Y co-ordinates of the point.</t>
  </si>
  <si>
    <t>The point scale factor (k) and the grid convergence (g) for</t>
  </si>
  <si>
    <t>the point are also returned.</t>
  </si>
  <si>
    <t>Easting    X</t>
  </si>
  <si>
    <t>Northing  Y</t>
  </si>
  <si>
    <r>
      <t>False Northing  Y</t>
    </r>
    <r>
      <rPr>
        <b/>
        <vertAlign val="subscript"/>
        <sz val="10"/>
        <rFont val="Verdana"/>
        <family val="0"/>
      </rPr>
      <t>0</t>
    </r>
  </si>
  <si>
    <t>SPCS 1927 Transverse Mercator Conversion Program</t>
  </si>
  <si>
    <t>feet</t>
  </si>
  <si>
    <t>User Instructions</t>
  </si>
  <si>
    <t xml:space="preserve">D.MMSSssss (HP calculator) format, and the entry will be formatted in a </t>
  </si>
  <si>
    <t>more readable form.</t>
  </si>
  <si>
    <t>together with the point scale factor (k) at the latitude of the point, and the</t>
  </si>
  <si>
    <r>
      <t>grid convergence at the point (</t>
    </r>
    <r>
      <rPr>
        <sz val="10"/>
        <rFont val="Symbol"/>
        <family val="0"/>
      </rPr>
      <t>g</t>
    </r>
    <r>
      <rPr>
        <sz val="10"/>
        <rFont val="Verdana"/>
        <family val="0"/>
      </rPr>
      <t>), in the boxes with the green borders.</t>
    </r>
  </si>
  <si>
    <t>provided that no charge is made, or any attempt is made to profit by it.</t>
  </si>
  <si>
    <t>All rights are reserved by the copyright holders.</t>
  </si>
  <si>
    <t>Formulae are hidden on this spreadsheet for convenience and neatness,</t>
  </si>
  <si>
    <t>but can be easily recovered by the user.</t>
  </si>
  <si>
    <t xml:space="preserve">Enter the required data in the boxes with the red border. Use </t>
  </si>
  <si>
    <t>W  DDD.MMSS</t>
  </si>
  <si>
    <t>N   DDD.MMSS</t>
  </si>
  <si>
    <t>W    DDD.MMSS</t>
  </si>
  <si>
    <t>N     DDD.MMSS</t>
  </si>
  <si>
    <t>mo (@ lat 0)</t>
  </si>
  <si>
    <t>N - No</t>
  </si>
  <si>
    <t>m=m0+dN/ko</t>
  </si>
  <si>
    <t>NAD 1927 Values</t>
  </si>
  <si>
    <t>Latitude</t>
  </si>
  <si>
    <t>Longitude</t>
  </si>
  <si>
    <t>Ellipsoidal Height</t>
  </si>
  <si>
    <t>f</t>
  </si>
  <si>
    <t>l</t>
  </si>
  <si>
    <t>h</t>
  </si>
  <si>
    <t>(D.MMSSssss  N)</t>
  </si>
  <si>
    <t>(D.MMSSssss  W)</t>
  </si>
  <si>
    <t>(meters)</t>
  </si>
  <si>
    <t>U</t>
  </si>
  <si>
    <t>V</t>
  </si>
  <si>
    <t>U2</t>
  </si>
  <si>
    <t>V2</t>
  </si>
  <si>
    <t>U3</t>
  </si>
  <si>
    <t>V3</t>
  </si>
  <si>
    <t>U4</t>
  </si>
  <si>
    <t>V4</t>
  </si>
  <si>
    <t>NAD 1983 Values</t>
  </si>
  <si>
    <t>U5</t>
  </si>
  <si>
    <t>V5</t>
  </si>
  <si>
    <t>U6</t>
  </si>
  <si>
    <t>V6</t>
  </si>
  <si>
    <t>U7</t>
  </si>
  <si>
    <t>V7</t>
  </si>
  <si>
    <t>U8</t>
  </si>
  <si>
    <t>V8</t>
  </si>
  <si>
    <t>U9</t>
  </si>
  <si>
    <t>V9</t>
  </si>
  <si>
    <t>Lat corrn</t>
  </si>
  <si>
    <t>Long corrn</t>
  </si>
  <si>
    <t>Ht corrn</t>
  </si>
  <si>
    <t>Precision</t>
  </si>
  <si>
    <t>±1.3 m  or</t>
  </si>
  <si>
    <t>±1.2 m</t>
  </si>
  <si>
    <t>Differences</t>
  </si>
  <si>
    <t>Df</t>
  </si>
  <si>
    <t>Dl</t>
  </si>
  <si>
    <r>
      <t>D</t>
    </r>
    <r>
      <rPr>
        <sz val="10"/>
        <rFont val="Verdana"/>
        <family val="0"/>
      </rPr>
      <t>h</t>
    </r>
  </si>
  <si>
    <t>(seconds)</t>
  </si>
  <si>
    <t>User Directions</t>
  </si>
  <si>
    <t>Key in the NAD27 values to be converted in the red outlined area.</t>
  </si>
  <si>
    <t>The formulae used for this spreadsheet are set up to the highest</t>
  </si>
  <si>
    <t>added, for ease of interpretation.</t>
  </si>
  <si>
    <t xml:space="preserve">With the values are the estimated precision of the values, </t>
  </si>
  <si>
    <t>assuming that the NAD27 values are perfect, i.e., the error in the</t>
  </si>
  <si>
    <t>formulae is given. You will have to add the precision of the NAD27</t>
  </si>
  <si>
    <t>values to this estimate.</t>
  </si>
  <si>
    <t>The corrections themselves are returned in the green outline area.</t>
  </si>
  <si>
    <t>The latitude and longitude values are in seconds. The height is in</t>
  </si>
  <si>
    <t>meters.</t>
  </si>
  <si>
    <t>To convert NAD83 locations back to NAD27, use an 'iterative'</t>
  </si>
  <si>
    <t>approach. Put the NAD83 value in the NAD27 entry location, and</t>
  </si>
  <si>
    <t>determine the corrections. Apply these corrections in reverse to</t>
  </si>
  <si>
    <t>precision possible. For the 1927 computations, you may get results</t>
  </si>
  <si>
    <t>that are slightly different to results computed from the original 1927</t>
  </si>
  <si>
    <t>tables, as these were not computed to the highest precision. Differences</t>
  </si>
  <si>
    <t>should be fairly consisitent over a reasonably sized region, so it may</t>
  </si>
  <si>
    <t>be best to adopt the original points' co-ordinates if they are pretty close</t>
  </si>
  <si>
    <t>to those produced by this spreadsheet.</t>
  </si>
  <si>
    <t>Angular values should be entered as DDD.MMSSsss (HP calculator format)</t>
  </si>
  <si>
    <t>Output angular values are formatted the same way.</t>
  </si>
  <si>
    <t>easily readable. Output values are similarly formatted.</t>
  </si>
  <si>
    <t>the values you just entered and try again. After 2 or more iterations,</t>
  </si>
  <si>
    <t>you should have the correct NAD83 value in the output location,</t>
  </si>
  <si>
    <t>while the NAD27 input location shows the desired NAD27 values.</t>
  </si>
  <si>
    <t>This spreadsheet may be freely copied and distributed,</t>
  </si>
  <si>
    <t>provided that this notice remains with the spreadsheet and that</t>
  </si>
  <si>
    <t>the distribution is not made for any monetary or other exchange.</t>
  </si>
  <si>
    <t>Formulae used are freely available and may be used by anyone.</t>
  </si>
  <si>
    <t>They are hidden in this spreadsheet for convenience only and</t>
  </si>
  <si>
    <t>may be viewed quite easily.</t>
  </si>
  <si>
    <t xml:space="preserve">liable for any incidental, special or consequential damages </t>
  </si>
  <si>
    <t>arising from the use of this product. The user accepts all risks</t>
  </si>
  <si>
    <t>SPCS 1927 Zone</t>
  </si>
  <si>
    <r>
      <t>False Northing  N</t>
    </r>
    <r>
      <rPr>
        <b/>
        <vertAlign val="subscript"/>
        <sz val="10"/>
        <rFont val="Verdana"/>
        <family val="0"/>
      </rPr>
      <t>0</t>
    </r>
  </si>
  <si>
    <t>Northing      N</t>
  </si>
  <si>
    <t>Easting        E</t>
  </si>
  <si>
    <r>
      <t xml:space="preserve">Longitude    </t>
    </r>
    <r>
      <rPr>
        <b/>
        <sz val="10"/>
        <rFont val="Symbol"/>
        <family val="0"/>
      </rPr>
      <t>l</t>
    </r>
  </si>
  <si>
    <r>
      <t xml:space="preserve">Latitude       </t>
    </r>
    <r>
      <rPr>
        <b/>
        <sz val="10"/>
        <rFont val="Symbol"/>
        <family val="0"/>
      </rPr>
      <t>f</t>
    </r>
  </si>
  <si>
    <t>Nevada East 2701</t>
  </si>
  <si>
    <t>SPCS 1983 Transverse Mercator Conversion Program</t>
  </si>
  <si>
    <t>SPCS Co-ordinates to Geographical Co-ordinates</t>
  </si>
  <si>
    <t>Northing  N</t>
  </si>
  <si>
    <t>Easting    E</t>
  </si>
  <si>
    <t>Point Scale Factor   k</t>
  </si>
  <si>
    <r>
      <t xml:space="preserve">Longitude   </t>
    </r>
    <r>
      <rPr>
        <b/>
        <sz val="10"/>
        <rFont val="Symbol"/>
        <family val="0"/>
      </rPr>
      <t xml:space="preserve"> l</t>
    </r>
  </si>
  <si>
    <r>
      <t xml:space="preserve">Grid Convergence    </t>
    </r>
    <r>
      <rPr>
        <b/>
        <sz val="10"/>
        <rFont val="Symbol"/>
        <family val="0"/>
      </rPr>
      <t>g</t>
    </r>
  </si>
  <si>
    <t>n</t>
  </si>
  <si>
    <t>b</t>
  </si>
  <si>
    <t>s</t>
  </si>
  <si>
    <t>foot-pt lat</t>
  </si>
  <si>
    <t>fpl (1)</t>
  </si>
  <si>
    <t>fpl (3)</t>
  </si>
  <si>
    <t>fpl (2)</t>
  </si>
  <si>
    <t>fpl (4)</t>
  </si>
  <si>
    <t>rho'</t>
  </si>
  <si>
    <t>nu'</t>
  </si>
  <si>
    <t>psi'</t>
  </si>
  <si>
    <t>t'</t>
  </si>
  <si>
    <t>lat (1)</t>
  </si>
  <si>
    <t>lat (2)</t>
  </si>
  <si>
    <t>lat (3)</t>
  </si>
  <si>
    <t>lat (4)</t>
  </si>
  <si>
    <t>x</t>
  </si>
  <si>
    <t>w (1)</t>
  </si>
  <si>
    <t>w (2)</t>
  </si>
  <si>
    <t>w (3)</t>
  </si>
  <si>
    <t>w (4)</t>
  </si>
  <si>
    <t>w</t>
  </si>
  <si>
    <t>long</t>
  </si>
  <si>
    <t>g (1)</t>
  </si>
  <si>
    <t>g (2)</t>
  </si>
  <si>
    <t>g (3)</t>
  </si>
  <si>
    <t>g (4)</t>
  </si>
  <si>
    <t>g</t>
  </si>
  <si>
    <t>x'</t>
  </si>
  <si>
    <t>N</t>
  </si>
  <si>
    <t>W</t>
  </si>
  <si>
    <t>Disclaimer:  The Author is not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</si>
</sst>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00"/>
    <numFmt numFmtId="174" formatCode="0.000"/>
    <numFmt numFmtId="175" formatCode="0.00000000000000000"/>
    <numFmt numFmtId="176" formatCode="0.00000000"/>
    <numFmt numFmtId="177" formatCode="0\°.\ 00\'\ 00\'\'\ \·000"/>
    <numFmt numFmtId="178" formatCode="0.00000"/>
    <numFmt numFmtId="179" formatCode="0.000\'\'"/>
    <numFmt numFmtId="180" formatCode="0\°.\ 00\'\ 00\'\'"/>
  </numFmts>
  <fonts count="5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vertAlign val="superscript"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vertAlign val="subscript"/>
      <sz val="10"/>
      <name val="Verdana"/>
      <family val="0"/>
    </font>
    <font>
      <b/>
      <sz val="10"/>
      <name val="Symbol"/>
      <family val="0"/>
    </font>
    <font>
      <sz val="8"/>
      <name val="Verdana"/>
      <family val="0"/>
    </font>
    <font>
      <sz val="10"/>
      <name val="Geneva"/>
      <family val="0"/>
    </font>
    <font>
      <b/>
      <sz val="12"/>
      <name val="Geneva"/>
      <family val="0"/>
    </font>
    <font>
      <sz val="10"/>
      <name val="Symbol"/>
      <family val="0"/>
    </font>
    <font>
      <i/>
      <sz val="10"/>
      <name val="Geneva"/>
      <family val="0"/>
    </font>
    <font>
      <b/>
      <sz val="10"/>
      <name val="Geneva"/>
      <family val="0"/>
    </font>
    <font>
      <vertAlign val="subscript"/>
      <sz val="1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10" xfId="0" applyBorder="1" applyAlignment="1">
      <alignment horizontal="right"/>
    </xf>
    <xf numFmtId="173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174" fontId="0" fillId="0" borderId="13" xfId="0" applyNumberFormat="1" applyBorder="1" applyAlignment="1">
      <alignment/>
    </xf>
    <xf numFmtId="17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74" fontId="0" fillId="0" borderId="10" xfId="0" applyNumberFormat="1" applyFont="1" applyBorder="1" applyAlignment="1">
      <alignment/>
    </xf>
    <xf numFmtId="174" fontId="0" fillId="0" borderId="12" xfId="0" applyNumberFormat="1" applyFont="1" applyBorder="1" applyAlignment="1">
      <alignment/>
    </xf>
    <xf numFmtId="174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177" fontId="0" fillId="0" borderId="15" xfId="0" applyNumberFormat="1" applyBorder="1" applyAlignment="1">
      <alignment/>
    </xf>
    <xf numFmtId="177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77" fontId="0" fillId="0" borderId="18" xfId="0" applyNumberFormat="1" applyBorder="1" applyAlignment="1">
      <alignment/>
    </xf>
    <xf numFmtId="177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177" fontId="14" fillId="0" borderId="21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177" fontId="0" fillId="0" borderId="21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24" xfId="0" applyNumberFormat="1" applyBorder="1" applyAlignment="1">
      <alignment horizontal="center"/>
    </xf>
    <xf numFmtId="0" fontId="0" fillId="0" borderId="25" xfId="0" applyBorder="1" applyAlignment="1">
      <alignment/>
    </xf>
    <xf numFmtId="177" fontId="0" fillId="0" borderId="0" xfId="0" applyNumberFormat="1" applyAlignment="1">
      <alignment/>
    </xf>
    <xf numFmtId="179" fontId="0" fillId="0" borderId="26" xfId="0" applyNumberFormat="1" applyBorder="1" applyAlignment="1">
      <alignment/>
    </xf>
    <xf numFmtId="179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15" fillId="0" borderId="0" xfId="0" applyFont="1" applyAlignment="1">
      <alignment/>
    </xf>
    <xf numFmtId="177" fontId="0" fillId="0" borderId="13" xfId="0" applyNumberFormat="1" applyBorder="1" applyAlignment="1">
      <alignment/>
    </xf>
    <xf numFmtId="177" fontId="0" fillId="0" borderId="14" xfId="0" applyNumberForma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12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 applyProtection="1">
      <alignment/>
      <protection hidden="1" locked="0"/>
    </xf>
    <xf numFmtId="178" fontId="11" fillId="0" borderId="0" xfId="0" applyNumberFormat="1" applyFont="1" applyFill="1" applyAlignment="1" applyProtection="1">
      <alignment/>
      <protection hidden="1" locked="0"/>
    </xf>
    <xf numFmtId="0" fontId="11" fillId="0" borderId="0" xfId="0" applyFont="1" applyFill="1" applyAlignment="1" applyProtection="1">
      <alignment horizontal="right"/>
      <protection hidden="1" locked="0"/>
    </xf>
    <xf numFmtId="0" fontId="11" fillId="0" borderId="0" xfId="0" applyFont="1" applyFill="1" applyAlignment="1" applyProtection="1">
      <alignment horizontal="center"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workbookViewId="0" topLeftCell="A1">
      <selection activeCell="L43" sqref="L43"/>
    </sheetView>
  </sheetViews>
  <sheetFormatPr defaultColWidth="11.00390625" defaultRowHeight="12.75"/>
  <cols>
    <col min="1" max="1" width="19.875" style="0" customWidth="1"/>
    <col min="2" max="2" width="17.875" style="0" customWidth="1"/>
    <col min="3" max="3" width="12.75390625" style="0" customWidth="1"/>
    <col min="8" max="8" width="10.75390625" style="0" hidden="1" customWidth="1"/>
    <col min="9" max="9" width="15.125" style="0" hidden="1" customWidth="1"/>
    <col min="10" max="11" width="10.75390625" style="0" hidden="1" customWidth="1"/>
  </cols>
  <sheetData>
    <row r="2" spans="2:10" ht="15.75">
      <c r="B2" s="7" t="s">
        <v>97</v>
      </c>
      <c r="I2" t="s">
        <v>70</v>
      </c>
      <c r="J2" t="s">
        <v>69</v>
      </c>
    </row>
    <row r="3" spans="2:10" ht="15.75">
      <c r="B3" s="7" t="s">
        <v>40</v>
      </c>
      <c r="H3" t="s">
        <v>57</v>
      </c>
      <c r="J3">
        <f>torad(B13)</f>
        <v>0.6065019150700002</v>
      </c>
    </row>
    <row r="4" spans="8:9" ht="12.75">
      <c r="H4" t="s">
        <v>54</v>
      </c>
      <c r="I4">
        <f>torad(B6)</f>
        <v>0.7228571985366666</v>
      </c>
    </row>
    <row r="5" spans="8:10" ht="13.5" thickBot="1">
      <c r="H5" t="s">
        <v>47</v>
      </c>
      <c r="I5">
        <f>D6*(1-D7)/(1-D7*SIN(I4)^2)^1.5</f>
        <v>20876883.1862258</v>
      </c>
      <c r="J5">
        <f>D6*(1-D7)/(1-D7*SIN(J4)^2)^1.5</f>
        <v>20784192.36271648</v>
      </c>
    </row>
    <row r="6" spans="1:10" ht="13.5">
      <c r="A6" s="2" t="s">
        <v>195</v>
      </c>
      <c r="B6" s="48">
        <v>41.25</v>
      </c>
      <c r="C6" t="s">
        <v>233</v>
      </c>
      <c r="D6">
        <f>6378206.4/H43</f>
        <v>20925832.163999997</v>
      </c>
      <c r="E6" t="s">
        <v>41</v>
      </c>
      <c r="F6" t="s">
        <v>1</v>
      </c>
      <c r="H6" t="s">
        <v>45</v>
      </c>
      <c r="I6">
        <f>D6/(SQRT(1-D7*SIN(I4)^2))</f>
        <v>20956893.532262597</v>
      </c>
      <c r="J6">
        <f>D6/(SQRT(1-D7*SIN(J3)^2))</f>
        <v>20948879.307760276</v>
      </c>
    </row>
    <row r="7" spans="1:10" ht="16.5" thickBot="1">
      <c r="A7" s="2" t="s">
        <v>194</v>
      </c>
      <c r="B7" s="49">
        <v>115.452</v>
      </c>
      <c r="C7" t="s">
        <v>234</v>
      </c>
      <c r="D7">
        <v>0.006768658</v>
      </c>
      <c r="E7" t="s">
        <v>42</v>
      </c>
      <c r="F7" t="s">
        <v>44</v>
      </c>
      <c r="H7" t="s">
        <v>46</v>
      </c>
      <c r="I7" s="15">
        <f>torad(-B7)-torad(-B12)</f>
        <v>-0.0030058448228889034</v>
      </c>
      <c r="J7">
        <v>0</v>
      </c>
    </row>
    <row r="8" spans="8:10" ht="12.75">
      <c r="H8" t="s">
        <v>48</v>
      </c>
      <c r="I8">
        <f>I6/I5</f>
        <v>1.0038324852097456</v>
      </c>
      <c r="J8">
        <f>J6/J5</f>
        <v>1.007923663434679</v>
      </c>
    </row>
    <row r="9" spans="8:10" ht="12.75">
      <c r="H9" t="s">
        <v>49</v>
      </c>
      <c r="I9">
        <f>TAN(I4)</f>
        <v>0.8821357064564668</v>
      </c>
      <c r="J9">
        <f>TAN(J3)</f>
        <v>0.6937246842619208</v>
      </c>
    </row>
    <row r="10" spans="8:10" ht="13.5" thickBot="1">
      <c r="H10" t="s">
        <v>50</v>
      </c>
      <c r="I10">
        <f>1-D7/4-3*D7^2/64-5*D7^3/256</f>
        <v>0.9983056818777551</v>
      </c>
      <c r="J10">
        <f>I10*$D$6/DEGREES(1)</f>
        <v>364605.8632044894</v>
      </c>
    </row>
    <row r="11" spans="1:10" ht="12.75">
      <c r="A11" s="2" t="s">
        <v>190</v>
      </c>
      <c r="B11" s="3" t="s">
        <v>196</v>
      </c>
      <c r="H11" t="s">
        <v>51</v>
      </c>
      <c r="I11">
        <f>3/8*(D7+D7^2/4+15*D7^3/128)</f>
        <v>0.0025425555086706023</v>
      </c>
      <c r="J11">
        <f>I11*$D$6</f>
        <v>53205.08984209466</v>
      </c>
    </row>
    <row r="12" spans="1:10" ht="15">
      <c r="A12" s="2" t="s">
        <v>82</v>
      </c>
      <c r="B12" s="50">
        <v>115.35</v>
      </c>
      <c r="C12" s="16" t="s">
        <v>109</v>
      </c>
      <c r="H12" t="s">
        <v>52</v>
      </c>
      <c r="I12">
        <f>15/256*(D7^2+0.75*D7^3)</f>
        <v>2.6980845296310833E-06</v>
      </c>
      <c r="J12">
        <f>I12*$D$6</f>
        <v>56.45966403134493</v>
      </c>
    </row>
    <row r="13" spans="1:10" ht="12.75">
      <c r="A13" s="2" t="s">
        <v>39</v>
      </c>
      <c r="B13" s="50">
        <v>34.45</v>
      </c>
      <c r="C13" s="16" t="s">
        <v>110</v>
      </c>
      <c r="H13" t="s">
        <v>53</v>
      </c>
      <c r="I13">
        <f>35*D7^3/3072</f>
        <v>3.533088743877497E-09</v>
      </c>
      <c r="J13">
        <f>I13*$D$6</f>
        <v>0.07393282207489807</v>
      </c>
    </row>
    <row r="14" spans="1:9" ht="15">
      <c r="A14" s="2" t="s">
        <v>83</v>
      </c>
      <c r="B14" s="4">
        <v>0.9999</v>
      </c>
      <c r="C14" s="1"/>
      <c r="H14" t="s">
        <v>55</v>
      </c>
      <c r="I14">
        <f>D6*(I10*I4-I11*SIN(2*I4)+I12*SIN(4*I4)-I13*SIN(6*I4))</f>
        <v>15047984.124816166</v>
      </c>
    </row>
    <row r="15" spans="1:11" ht="15">
      <c r="A15" s="2" t="s">
        <v>0</v>
      </c>
      <c r="B15" s="5">
        <v>500000</v>
      </c>
      <c r="C15" s="1" t="s">
        <v>98</v>
      </c>
      <c r="H15" t="s">
        <v>56</v>
      </c>
      <c r="J15">
        <f>D6*(I10*J3-I11*SIN(2*J3)+I12*SIN(4*J3)-I13*SIN(6*J3))</f>
        <v>12620255.094565602</v>
      </c>
      <c r="K15">
        <f>I14-J15</f>
        <v>2427729.030250564</v>
      </c>
    </row>
    <row r="16" spans="1:3" ht="15.75" thickBot="1">
      <c r="A16" s="2" t="s">
        <v>96</v>
      </c>
      <c r="B16" s="6">
        <v>0</v>
      </c>
      <c r="C16" s="1" t="s">
        <v>98</v>
      </c>
    </row>
    <row r="18" spans="8:9" ht="13.5" thickBot="1">
      <c r="H18" t="s">
        <v>58</v>
      </c>
      <c r="I18">
        <f>I6*I7*COS(I4)</f>
        <v>-47239.7542158685</v>
      </c>
    </row>
    <row r="19" spans="1:9" ht="12.75">
      <c r="A19" s="8" t="s">
        <v>2</v>
      </c>
      <c r="B19" s="9">
        <f>I22+B15</f>
        <v>452764.96073257714</v>
      </c>
      <c r="C19" s="1" t="s">
        <v>98</v>
      </c>
      <c r="H19" t="s">
        <v>59</v>
      </c>
      <c r="I19">
        <f>I6*I7^3/6*COS(I4)^3*(I8-I9^2)</f>
        <v>-0.009027965341394849</v>
      </c>
    </row>
    <row r="20" spans="1:9" ht="13.5" thickBot="1">
      <c r="A20" s="8" t="s">
        <v>3</v>
      </c>
      <c r="B20" s="10">
        <f>(I28-J28)+B16</f>
        <v>2427533.219836781</v>
      </c>
      <c r="C20" s="1" t="s">
        <v>98</v>
      </c>
      <c r="H20" t="s">
        <v>60</v>
      </c>
      <c r="I20">
        <f>I6*I7^5/120*COS(I4)^5*(4*I8^3*(1-6*I9^2)+I8^2*(1+8*I9^2)-I8*2*I9^2+I9^4)</f>
        <v>8.660704891731413E-08</v>
      </c>
    </row>
    <row r="21" spans="8:9" ht="13.5" thickBot="1">
      <c r="H21" t="s">
        <v>61</v>
      </c>
      <c r="I21">
        <f>I6*I7^7/5040*COS(I4)^7*(61-479+I9^2+179*I9^4+I9^6)</f>
        <v>3.7915644623358307E-13</v>
      </c>
    </row>
    <row r="22" spans="1:9" ht="13.5">
      <c r="A22" s="2" t="s">
        <v>203</v>
      </c>
      <c r="B22" s="46">
        <f>todms(I34)</f>
        <v>0.06501493248844421</v>
      </c>
      <c r="C22" s="1" t="s">
        <v>76</v>
      </c>
      <c r="H22" t="s">
        <v>62</v>
      </c>
      <c r="I22">
        <f>B14*(I18+I19+I20+I21)</f>
        <v>-47235.03926742287</v>
      </c>
    </row>
    <row r="23" spans="1:2" ht="13.5" thickBot="1">
      <c r="A23" s="2" t="s">
        <v>201</v>
      </c>
      <c r="B23" s="11">
        <f>I39</f>
        <v>0.9999025500553284</v>
      </c>
    </row>
    <row r="24" spans="8:9" ht="12.75">
      <c r="H24" t="s">
        <v>63</v>
      </c>
      <c r="I24">
        <f>I7^2/2*COS(I4)</f>
        <v>3.3877962500910354E-06</v>
      </c>
    </row>
    <row r="25" spans="8:9" ht="12.75">
      <c r="H25" t="s">
        <v>64</v>
      </c>
      <c r="I25">
        <f>I7^4/24*COS(I4)^3*(4*I8^2+I8-I9^2)</f>
        <v>6.1057449998810216E-12</v>
      </c>
    </row>
    <row r="26" spans="1:9" ht="12.75">
      <c r="A26" s="45" t="s">
        <v>99</v>
      </c>
      <c r="H26" t="s">
        <v>65</v>
      </c>
      <c r="I26">
        <f>I7^6/720*COS(I4)^5*(8*I8^4*(11-24*I9^2)-28*I8^3*(1-6*I9^2)+I8^2*(1-32*I9^2)-2*I8*I9^2+I9^4)</f>
        <v>4.01407308723804E-18</v>
      </c>
    </row>
    <row r="27" spans="8:9" ht="12.75">
      <c r="H27" t="s">
        <v>66</v>
      </c>
      <c r="I27">
        <f>I7^8/40320*COS(I4)^7*(1385-3111*I9^2+543*I9^4-I9^6)</f>
        <v>-1.559754023430178E-23</v>
      </c>
    </row>
    <row r="28" spans="1:11" ht="12.75">
      <c r="A28" t="s">
        <v>108</v>
      </c>
      <c r="H28" t="s">
        <v>67</v>
      </c>
      <c r="I28">
        <f>B14*(I14+I6*SIN(I4)*(I24+I25+I26+I27))</f>
        <v>15046526.288892927</v>
      </c>
      <c r="J28">
        <f>B14*J15</f>
        <v>12618993.069056146</v>
      </c>
      <c r="K28" t="s">
        <v>68</v>
      </c>
    </row>
    <row r="29" spans="1:11" ht="12.75">
      <c r="A29" t="s">
        <v>13</v>
      </c>
      <c r="K29">
        <f>I28-J28</f>
        <v>2427533.219836781</v>
      </c>
    </row>
    <row r="30" spans="1:9" ht="12.75">
      <c r="A30" t="s">
        <v>100</v>
      </c>
      <c r="H30" t="s">
        <v>71</v>
      </c>
      <c r="I30">
        <f>-SIN(I4)*I7</f>
        <v>0.0019884566333217392</v>
      </c>
    </row>
    <row r="31" spans="1:9" ht="12.75">
      <c r="A31" t="s">
        <v>101</v>
      </c>
      <c r="H31" t="s">
        <v>72</v>
      </c>
      <c r="I31">
        <f>-SIN(I4)*I7^3/3*COS(I4)^2*(2*I8^2-I8)</f>
        <v>3.4066986699123006E-09</v>
      </c>
    </row>
    <row r="32" spans="8:9" ht="12.75">
      <c r="H32" t="s">
        <v>73</v>
      </c>
      <c r="I32">
        <f>-SIN(I4)*I7^5/15*COS(I4)^4*(I8^4*(11-24*I9^2)-I8^3*(11-36*I9^2)+2*I8^2*(1-7*I9^2)+I8*I9^2)</f>
        <v>4.2252248463300025E-15</v>
      </c>
    </row>
    <row r="33" spans="1:9" ht="12.75">
      <c r="A33" t="s">
        <v>14</v>
      </c>
      <c r="H33" t="s">
        <v>74</v>
      </c>
      <c r="I33">
        <f>-SIN(I4)*I7^7/315*COS(I4)^6*(17-26*I9^4-2*I9^4)</f>
        <v>3.7205520245819977E-23</v>
      </c>
    </row>
    <row r="34" spans="1:9" ht="12.75">
      <c r="A34" t="s">
        <v>102</v>
      </c>
      <c r="H34" t="s">
        <v>75</v>
      </c>
      <c r="I34">
        <f>I30+I31+I32</f>
        <v>0.0019884600400246347</v>
      </c>
    </row>
    <row r="35" ht="13.5">
      <c r="A35" t="s">
        <v>103</v>
      </c>
    </row>
    <row r="36" spans="8:9" ht="12.75">
      <c r="H36" t="s">
        <v>78</v>
      </c>
      <c r="I36">
        <f>I7^2/2*COS(I4)^2*I8</f>
        <v>2.5503083616482992E-06</v>
      </c>
    </row>
    <row r="37" spans="1:9" ht="12.75">
      <c r="A37" t="s">
        <v>176</v>
      </c>
      <c r="H37" t="s">
        <v>79</v>
      </c>
      <c r="I37">
        <f>I7^4/24*COS(I4)^4*(4*I8^3*(1-6*I9^2)+I8^2*(1+24*I9^2)-4*I8*I9^2)</f>
        <v>1.9978178485013232E-12</v>
      </c>
    </row>
    <row r="38" spans="1:9" ht="12.75">
      <c r="A38" t="s">
        <v>17</v>
      </c>
      <c r="H38" t="s">
        <v>80</v>
      </c>
      <c r="I38">
        <f>I7^6/720*COS(I4)^6*(61-148*I9^2+16*I9^4)</f>
        <v>-8.104242552070473E-18</v>
      </c>
    </row>
    <row r="39" spans="1:9" ht="12.75">
      <c r="A39" t="s">
        <v>177</v>
      </c>
      <c r="H39" t="s">
        <v>81</v>
      </c>
      <c r="I39">
        <f>B14*(1+I36+I37+I38)</f>
        <v>0.9999025500553284</v>
      </c>
    </row>
    <row r="41" ht="12.75">
      <c r="A41" t="s">
        <v>106</v>
      </c>
    </row>
    <row r="42" ht="12.75">
      <c r="A42" t="s">
        <v>107</v>
      </c>
    </row>
    <row r="43" ht="12.75">
      <c r="H43">
        <f>12/39.37</f>
        <v>0.30480060960121924</v>
      </c>
    </row>
    <row r="44" ht="12.75">
      <c r="A44" t="s">
        <v>158</v>
      </c>
    </row>
    <row r="45" ht="12.75">
      <c r="A45" t="s">
        <v>170</v>
      </c>
    </row>
    <row r="46" ht="12.75">
      <c r="A46" t="s">
        <v>171</v>
      </c>
    </row>
    <row r="47" ht="12.75">
      <c r="A47" t="s">
        <v>172</v>
      </c>
    </row>
    <row r="48" ht="12.75">
      <c r="A48" t="s">
        <v>173</v>
      </c>
    </row>
    <row r="49" ht="12.75">
      <c r="A49" t="s">
        <v>174</v>
      </c>
    </row>
    <row r="50" ht="12.75">
      <c r="A50" t="s">
        <v>175</v>
      </c>
    </row>
    <row r="52" ht="12.75">
      <c r="A52" t="s">
        <v>15</v>
      </c>
    </row>
    <row r="53" ht="12.75">
      <c r="A53" t="s">
        <v>104</v>
      </c>
    </row>
    <row r="54" ht="12.75">
      <c r="A54" t="s">
        <v>105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0"/>
  <sheetViews>
    <sheetView workbookViewId="0" topLeftCell="A1">
      <selection activeCell="H1" sqref="H1:J65536"/>
    </sheetView>
  </sheetViews>
  <sheetFormatPr defaultColWidth="11.00390625" defaultRowHeight="12.75"/>
  <cols>
    <col min="1" max="1" width="20.25390625" style="0" customWidth="1"/>
    <col min="2" max="2" width="18.25390625" style="0" customWidth="1"/>
    <col min="3" max="3" width="13.625" style="0" customWidth="1"/>
    <col min="8" max="8" width="10.75390625" style="0" hidden="1" customWidth="1"/>
    <col min="9" max="9" width="14.25390625" style="0" hidden="1" customWidth="1"/>
    <col min="10" max="10" width="12.75390625" style="0" hidden="1" customWidth="1"/>
  </cols>
  <sheetData>
    <row r="2" ht="15.75">
      <c r="B2" s="7" t="s">
        <v>97</v>
      </c>
    </row>
    <row r="3" spans="2:9" ht="15.75">
      <c r="B3" s="7" t="s">
        <v>198</v>
      </c>
      <c r="H3" t="s">
        <v>205</v>
      </c>
      <c r="I3">
        <f>D6*SQRT(1-D7)</f>
        <v>20854892.017138224</v>
      </c>
    </row>
    <row r="4" spans="8:9" ht="12.75">
      <c r="H4" t="s">
        <v>204</v>
      </c>
      <c r="I4">
        <f>(D6-I3)/(D6+I3)</f>
        <v>0.0016979156836587027</v>
      </c>
    </row>
    <row r="5" spans="8:9" ht="13.5" thickBot="1">
      <c r="H5" t="s">
        <v>75</v>
      </c>
      <c r="I5">
        <f>D6*(1-I4)*(1-I4^2)*(1+2.25*I4^2+225/64*I4^4)*PI()/180</f>
        <v>364605.86319626606</v>
      </c>
    </row>
    <row r="6" spans="1:9" ht="12.75">
      <c r="A6" s="2" t="s">
        <v>94</v>
      </c>
      <c r="B6" s="12">
        <v>1961457.634</v>
      </c>
      <c r="C6" s="1" t="s">
        <v>98</v>
      </c>
      <c r="D6">
        <f>6378206.4/H49</f>
        <v>20925832.163999997</v>
      </c>
      <c r="E6" t="s">
        <v>41</v>
      </c>
      <c r="F6" t="s">
        <v>43</v>
      </c>
      <c r="H6" t="s">
        <v>50</v>
      </c>
      <c r="I6">
        <f>1-D7/4-3*D7^2/64-5*D7^3/256</f>
        <v>0.9983056818777551</v>
      </c>
    </row>
    <row r="7" spans="1:9" ht="15.75" thickBot="1">
      <c r="A7" s="2" t="s">
        <v>95</v>
      </c>
      <c r="B7" s="13">
        <v>2289985.636</v>
      </c>
      <c r="C7" s="1" t="s">
        <v>98</v>
      </c>
      <c r="D7">
        <v>0.006768658</v>
      </c>
      <c r="E7" t="s">
        <v>42</v>
      </c>
      <c r="F7" t="s">
        <v>44</v>
      </c>
      <c r="H7" t="s">
        <v>51</v>
      </c>
      <c r="I7">
        <f>3/8*(D7+D7^2/4+15*D7^3/128)</f>
        <v>0.0025425555086706023</v>
      </c>
    </row>
    <row r="8" spans="8:9" ht="12.75">
      <c r="H8" t="s">
        <v>52</v>
      </c>
      <c r="I8">
        <f>15/256*(D7^2+0.75*D7^3)</f>
        <v>2.6980845296310833E-06</v>
      </c>
    </row>
    <row r="9" spans="8:9" ht="12.75">
      <c r="H9" t="s">
        <v>53</v>
      </c>
      <c r="I9">
        <f>35*D7^3/3072</f>
        <v>3.533088743877497E-09</v>
      </c>
    </row>
    <row r="10" spans="8:9" ht="13.5" thickBot="1">
      <c r="H10" t="s">
        <v>69</v>
      </c>
      <c r="I10">
        <f>torad(B13)</f>
        <v>0.6065019150700002</v>
      </c>
    </row>
    <row r="11" spans="1:9" ht="12.75">
      <c r="A11" s="2" t="s">
        <v>38</v>
      </c>
      <c r="B11" s="3" t="s">
        <v>196</v>
      </c>
      <c r="H11" t="s">
        <v>113</v>
      </c>
      <c r="I11">
        <f>D6*(I6*I10-I7*SIN(2*I10)+I8*SIN(4*I10)-I9*SIN(6*I10))</f>
        <v>12620255.094565602</v>
      </c>
    </row>
    <row r="12" spans="1:9" ht="15">
      <c r="A12" s="2" t="s">
        <v>82</v>
      </c>
      <c r="B12" s="50">
        <v>115.35</v>
      </c>
      <c r="C12" s="16" t="s">
        <v>111</v>
      </c>
      <c r="H12" t="s">
        <v>114</v>
      </c>
      <c r="I12" s="14">
        <f>B7-B16</f>
        <v>2289985.636</v>
      </c>
    </row>
    <row r="13" spans="1:9" ht="12.75">
      <c r="A13" s="2" t="s">
        <v>39</v>
      </c>
      <c r="B13" s="50">
        <v>34.45</v>
      </c>
      <c r="C13" s="16" t="s">
        <v>112</v>
      </c>
      <c r="H13" t="s">
        <v>115</v>
      </c>
      <c r="I13" s="14">
        <f>I11+I12/B14</f>
        <v>14910469.752031349</v>
      </c>
    </row>
    <row r="14" spans="1:9" ht="15">
      <c r="A14" s="2" t="s">
        <v>83</v>
      </c>
      <c r="B14" s="4">
        <v>0.9999</v>
      </c>
      <c r="C14" s="1"/>
      <c r="H14" t="s">
        <v>206</v>
      </c>
      <c r="I14">
        <f>RADIANS(I13/I5)</f>
        <v>0.7137482318870033</v>
      </c>
    </row>
    <row r="15" spans="1:9" ht="15">
      <c r="A15" s="2" t="s">
        <v>0</v>
      </c>
      <c r="B15" s="5">
        <v>2000000</v>
      </c>
      <c r="C15" s="1" t="s">
        <v>98</v>
      </c>
      <c r="H15" t="s">
        <v>208</v>
      </c>
      <c r="I15">
        <f>(1.5*I4-27*I4^3/32)*SIN(2*I14)</f>
        <v>0.00252076432181307</v>
      </c>
    </row>
    <row r="16" spans="1:9" ht="15.75" thickBot="1">
      <c r="A16" s="2" t="s">
        <v>96</v>
      </c>
      <c r="B16" s="6">
        <v>0</v>
      </c>
      <c r="C16" s="1" t="s">
        <v>98</v>
      </c>
      <c r="H16" t="s">
        <v>210</v>
      </c>
      <c r="I16">
        <f>(21*I4^2/16-55*I4^4/32)*SIN(4*I14)</f>
        <v>1.0696553584302751E-06</v>
      </c>
    </row>
    <row r="17" spans="8:9" ht="12.75">
      <c r="H17" t="s">
        <v>209</v>
      </c>
      <c r="I17">
        <f>151*I4^3/96*SIN(6*I14)</f>
        <v>-6.9987678794455E-09</v>
      </c>
    </row>
    <row r="18" spans="8:9" ht="13.5" thickBot="1">
      <c r="H18" t="s">
        <v>211</v>
      </c>
      <c r="I18">
        <f>1097*I4^4/512*SIN(8*I14)</f>
        <v>-9.657374937466385E-12</v>
      </c>
    </row>
    <row r="19" spans="1:10" ht="13.5">
      <c r="A19" s="8" t="s">
        <v>195</v>
      </c>
      <c r="B19" s="46">
        <f>todms(I30)</f>
        <v>41.022100000280005</v>
      </c>
      <c r="C19" s="16" t="s">
        <v>112</v>
      </c>
      <c r="H19" t="s">
        <v>207</v>
      </c>
      <c r="I19">
        <f>SUM(I14:I18)</f>
        <v>0.7162700588557495</v>
      </c>
      <c r="J19">
        <f>todms(I19)</f>
        <v>41.02213049099975</v>
      </c>
    </row>
    <row r="20" spans="1:9" ht="15" thickBot="1">
      <c r="A20" s="8" t="s">
        <v>202</v>
      </c>
      <c r="B20" s="47">
        <f>todms(I37)</f>
        <v>115.43229999994192</v>
      </c>
      <c r="C20" s="16" t="s">
        <v>111</v>
      </c>
      <c r="H20" t="s">
        <v>212</v>
      </c>
      <c r="I20">
        <f>D6*(1-D7)/(1-D7*SIN(I19)^2)^1.5</f>
        <v>20875495.01850261</v>
      </c>
    </row>
    <row r="21" spans="8:9" ht="13.5" thickBot="1">
      <c r="H21" t="s">
        <v>213</v>
      </c>
      <c r="I21">
        <f>D6/(SQRT(1-D7*SIN(I19)^2))</f>
        <v>20956429.026015144</v>
      </c>
    </row>
    <row r="22" spans="1:9" ht="13.5">
      <c r="A22" s="2" t="s">
        <v>203</v>
      </c>
      <c r="B22" s="46">
        <f>todms(I43)</f>
        <v>0.05302574935386178</v>
      </c>
      <c r="C22" s="1" t="s">
        <v>76</v>
      </c>
      <c r="H22" t="s">
        <v>214</v>
      </c>
      <c r="I22">
        <f>I21/I20</f>
        <v>1.0038769862674297</v>
      </c>
    </row>
    <row r="23" spans="1:9" ht="13.5" thickBot="1">
      <c r="A23" s="2" t="s">
        <v>201</v>
      </c>
      <c r="B23" s="11">
        <f>I46</f>
        <v>0.9999016979943305</v>
      </c>
      <c r="H23" t="s">
        <v>215</v>
      </c>
      <c r="I23">
        <f>TAN(I19)</f>
        <v>0.8704901964600743</v>
      </c>
    </row>
    <row r="24" spans="8:9" ht="12.75">
      <c r="H24" t="s">
        <v>62</v>
      </c>
      <c r="I24" s="14">
        <f>B6-B15</f>
        <v>-38542.36599999992</v>
      </c>
    </row>
    <row r="25" spans="8:9" ht="12.75">
      <c r="H25" t="s">
        <v>220</v>
      </c>
      <c r="I25">
        <f>I24/B14/I21</f>
        <v>-0.001839350615231782</v>
      </c>
    </row>
    <row r="26" spans="1:9" ht="12.75">
      <c r="A26" s="45" t="s">
        <v>99</v>
      </c>
      <c r="H26" t="s">
        <v>216</v>
      </c>
      <c r="I26">
        <f>I25*I24/2</f>
        <v>35.44646230729418</v>
      </c>
    </row>
    <row r="27" spans="8:9" ht="12.75">
      <c r="H27" t="s">
        <v>217</v>
      </c>
      <c r="I27">
        <f>I25^3*I24/24*(-4*I22^2+9*I22*(1-I23^2)+12*I23^2)</f>
        <v>7.245974668608549E-05</v>
      </c>
    </row>
    <row r="28" spans="1:9" ht="12.75">
      <c r="A28" t="s">
        <v>91</v>
      </c>
      <c r="H28" t="s">
        <v>218</v>
      </c>
      <c r="I28">
        <f>I25^5*I24/720*(8*I22^4*(11-24*I23^2)-12*I22^3*(21-71*I23^2)+15*I22^2*(15-98*I23^2+15*I23^4)+180*I22*(5*I23^2-3*I23^4)+360*I23^4)</f>
        <v>1.73869923587912E-10</v>
      </c>
    </row>
    <row r="29" spans="1:9" ht="15">
      <c r="A29" t="s">
        <v>89</v>
      </c>
      <c r="H29" t="s">
        <v>219</v>
      </c>
      <c r="I29">
        <f>I25^7*I24/40320*(1385+3663*I23^2+4095*I23^4+1575*I23^6)</f>
        <v>4.90043841001128E-16</v>
      </c>
    </row>
    <row r="30" spans="1:9" ht="12.75">
      <c r="A30" t="s">
        <v>86</v>
      </c>
      <c r="H30" t="s">
        <v>70</v>
      </c>
      <c r="I30">
        <f>I19-(I23/B14/I20)*(I26-I27+I28-I29)</f>
        <v>0.7162685806239415</v>
      </c>
    </row>
    <row r="31" ht="12.75">
      <c r="A31" t="s">
        <v>90</v>
      </c>
    </row>
    <row r="32" spans="8:9" ht="12.75">
      <c r="H32" t="s">
        <v>221</v>
      </c>
      <c r="I32">
        <f>I25/COS(I19)</f>
        <v>-0.002438616277463508</v>
      </c>
    </row>
    <row r="33" spans="1:9" ht="12.75">
      <c r="A33" t="s">
        <v>87</v>
      </c>
      <c r="H33" t="s">
        <v>222</v>
      </c>
      <c r="I33">
        <f>-I25^3/6*(I22+2*I23^2)/COS(I19)</f>
        <v>3.4643001830544944E-09</v>
      </c>
    </row>
    <row r="34" spans="8:9" ht="12.75">
      <c r="H34" t="s">
        <v>223</v>
      </c>
      <c r="I34">
        <f>+I25^5/120/COS(I19)*(-4*I22^3*(1-6*I23^2)+I22^2*(9-68*I23^2)+72*I22*I23^2+24*I23^4)</f>
        <v>-9.314557549864785E-15</v>
      </c>
    </row>
    <row r="35" spans="1:9" ht="12.75">
      <c r="A35" t="s">
        <v>88</v>
      </c>
      <c r="H35" t="s">
        <v>224</v>
      </c>
      <c r="I35">
        <f>-I25^7/5040/COS(I19)*(61+662*I23^2+1320*I23^4+720*I23^6)</f>
        <v>3.061309356068872E-20</v>
      </c>
    </row>
    <row r="36" spans="8:9" ht="12.75">
      <c r="H36" t="s">
        <v>225</v>
      </c>
      <c r="I36">
        <f>SUM(I32:I35)</f>
        <v>-0.0024386128131726396</v>
      </c>
    </row>
    <row r="37" spans="1:9" ht="12.75">
      <c r="A37" t="s">
        <v>92</v>
      </c>
      <c r="H37" t="s">
        <v>226</v>
      </c>
      <c r="I37">
        <f>torad(B12)-I36</f>
        <v>2.019748339916506</v>
      </c>
    </row>
    <row r="38" ht="12.75">
      <c r="A38" t="s">
        <v>93</v>
      </c>
    </row>
    <row r="39" spans="8:9" ht="12.75">
      <c r="H39" t="s">
        <v>227</v>
      </c>
      <c r="I39">
        <f>-I23*I25</f>
        <v>0.0016011366784120724</v>
      </c>
    </row>
    <row r="40" spans="1:9" ht="12.75">
      <c r="A40" t="s">
        <v>158</v>
      </c>
      <c r="H40" t="s">
        <v>228</v>
      </c>
      <c r="I40">
        <f>I23*I25^3/3*(-2*I22^2+3*I22+I23^2)</f>
        <v>-3.16685140000554E-09</v>
      </c>
    </row>
    <row r="41" spans="1:9" ht="12.75">
      <c r="A41" t="s">
        <v>170</v>
      </c>
      <c r="H41" t="s">
        <v>229</v>
      </c>
      <c r="I41">
        <f>-I23*I25^5/15*(I22^4*(11-24*I23^2)-3*I22^3*(8-23*I23^2)+5*I22^2*(3-14*I23^2)+30*I22*I23^2+3*I23^4)</f>
        <v>9.190377444792511E-15</v>
      </c>
    </row>
    <row r="42" spans="1:9" ht="12.75">
      <c r="A42" t="s">
        <v>171</v>
      </c>
      <c r="H42" t="s">
        <v>230</v>
      </c>
      <c r="I42">
        <f>I23*I25^7/315*(17+77*I23^2+105*I23^4+45*I23^6)</f>
        <v>-3.055216241156697E-20</v>
      </c>
    </row>
    <row r="43" spans="1:9" ht="12.75">
      <c r="A43" t="s">
        <v>172</v>
      </c>
      <c r="H43" t="s">
        <v>231</v>
      </c>
      <c r="I43">
        <f>SUM(I39:I42)</f>
        <v>0.0016011335115698627</v>
      </c>
    </row>
    <row r="44" ht="12.75">
      <c r="A44" t="s">
        <v>173</v>
      </c>
    </row>
    <row r="45" spans="1:9" ht="12.75">
      <c r="A45" t="s">
        <v>174</v>
      </c>
      <c r="H45" t="s">
        <v>232</v>
      </c>
      <c r="I45">
        <f>I24^2/B14^2/I20/I21</f>
        <v>3.3963273471220225E-06</v>
      </c>
    </row>
    <row r="46" spans="1:9" ht="12.75">
      <c r="A46" t="s">
        <v>175</v>
      </c>
      <c r="H46" t="s">
        <v>81</v>
      </c>
      <c r="I46">
        <f>B14*(1+I45/2+I45^2/24/(4*I22*(1-6*I23^2)-3*(1-16*I23^2)-24*I23^2/I22)+I45^3/720)</f>
        <v>0.9999016979943305</v>
      </c>
    </row>
    <row r="48" ht="12.75">
      <c r="A48" t="s">
        <v>176</v>
      </c>
    </row>
    <row r="49" spans="1:8" ht="12.75">
      <c r="A49" t="s">
        <v>17</v>
      </c>
      <c r="H49">
        <f>12/39.37</f>
        <v>0.30480060960121924</v>
      </c>
    </row>
    <row r="50" ht="12.75">
      <c r="A50" t="s">
        <v>177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85"/>
  <sheetViews>
    <sheetView workbookViewId="0" topLeftCell="A1">
      <selection activeCell="G18" sqref="G18"/>
    </sheetView>
  </sheetViews>
  <sheetFormatPr defaultColWidth="11.00390625" defaultRowHeight="12.75"/>
  <cols>
    <col min="1" max="1" width="19.25390625" style="0" customWidth="1"/>
    <col min="2" max="2" width="19.875" style="0" customWidth="1"/>
    <col min="3" max="3" width="19.25390625" style="0" customWidth="1"/>
    <col min="4" max="4" width="17.875" style="0" customWidth="1"/>
    <col min="5" max="8" width="10.75390625" style="0" customWidth="1"/>
  </cols>
  <sheetData>
    <row r="1" spans="4:22" ht="12.75">
      <c r="D1" s="51"/>
      <c r="E1" s="52"/>
      <c r="F1" s="52"/>
      <c r="G1" s="52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ht="15.75">
      <c r="A2" s="18"/>
      <c r="B2" s="19" t="s">
        <v>116</v>
      </c>
      <c r="D2" s="51"/>
      <c r="E2" s="52"/>
      <c r="F2" s="52"/>
      <c r="G2" s="52"/>
      <c r="H2" s="52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4:22" ht="12.75">
      <c r="D3" s="51"/>
      <c r="E3" s="52"/>
      <c r="F3" s="52"/>
      <c r="G3" s="52"/>
      <c r="H3" s="52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2" ht="12.75">
      <c r="A4" s="20" t="s">
        <v>117</v>
      </c>
      <c r="B4" s="20" t="s">
        <v>118</v>
      </c>
      <c r="C4" s="20" t="s">
        <v>119</v>
      </c>
      <c r="D4" s="51"/>
      <c r="E4" s="52"/>
      <c r="F4" s="52"/>
      <c r="G4" s="52"/>
      <c r="H4" s="52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1:22" ht="13.5">
      <c r="A5" s="21" t="s">
        <v>120</v>
      </c>
      <c r="B5" s="21" t="s">
        <v>121</v>
      </c>
      <c r="C5" s="22" t="s">
        <v>122</v>
      </c>
      <c r="D5" s="51"/>
      <c r="E5" s="52"/>
      <c r="F5" s="52"/>
      <c r="G5" s="52"/>
      <c r="H5" s="52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1:22" ht="12.75">
      <c r="A6" s="22" t="s">
        <v>123</v>
      </c>
      <c r="B6" s="22" t="s">
        <v>124</v>
      </c>
      <c r="C6" s="22" t="s">
        <v>125</v>
      </c>
      <c r="D6" s="51"/>
      <c r="E6" s="52"/>
      <c r="F6" s="52">
        <f>DEGREES(torad(A8))</f>
        <v>41.0391666668</v>
      </c>
      <c r="G6" s="52">
        <f>DEGREES(torad(B8))</f>
        <v>115.72305555593154</v>
      </c>
      <c r="H6" s="52"/>
      <c r="I6" s="51"/>
      <c r="J6" s="51"/>
      <c r="K6" s="51">
        <f>0.05235988</f>
        <v>0.05235988</v>
      </c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4:22" ht="13.5" thickBot="1">
      <c r="D7" s="51"/>
      <c r="E7" s="52"/>
      <c r="F7" s="52"/>
      <c r="G7" s="52"/>
      <c r="H7" s="52"/>
      <c r="I7" s="51"/>
      <c r="J7" s="51"/>
      <c r="K7" s="51">
        <f>PI()/60</f>
        <v>0.05235987755982988</v>
      </c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spans="1:22" ht="15" thickBot="1" thickTop="1">
      <c r="A8" s="23">
        <v>41.0221</v>
      </c>
      <c r="B8" s="24">
        <v>115.4323</v>
      </c>
      <c r="C8" s="25">
        <v>1500</v>
      </c>
      <c r="D8" s="51"/>
      <c r="E8" s="52"/>
      <c r="F8" s="53">
        <f>(INT(ABS(A8))+INT((ABS(A8)-INT(ABS(A8)))*100+0.0000001)/60+(ABS(A8)*100-INT((ABS(A8)+0.0000001)*100))/36)*(A8/ABS(A8))</f>
        <v>41.03916666666667</v>
      </c>
      <c r="G8" s="53">
        <f>(INT(ABS(B8))+INT((ABS(B8)-INT(ABS(B8)))*100+0.0000001)/60+(ABS(B8)*100-INT((ABS(B8)+0.0000001)*100))/36)*(B8/ABS(B8))</f>
        <v>115.72305555555555</v>
      </c>
      <c r="H8" s="52"/>
      <c r="I8" s="51">
        <f>torad(A8-37)</f>
        <v>0.07049675737036676</v>
      </c>
      <c r="J8" s="51">
        <f>torad(B8)</f>
        <v>2.0197483399193223</v>
      </c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</row>
    <row r="9" spans="4:22" ht="13.5" thickTop="1">
      <c r="D9" s="51"/>
      <c r="E9" s="54" t="s">
        <v>126</v>
      </c>
      <c r="F9" s="53">
        <f>0.05235988*(F8-37)</f>
        <v>0.21149028196666667</v>
      </c>
      <c r="G9" s="52">
        <f>0.05235988*((360-G8)-265)</f>
        <v>-1.0850567021222224</v>
      </c>
      <c r="H9" s="52" t="s">
        <v>127</v>
      </c>
      <c r="I9" s="51">
        <f>3*I8</f>
        <v>0.21149027211110027</v>
      </c>
      <c r="J9" s="51">
        <f>3*(2*PI()-J8-RADIANS(265))</f>
        <v>-1.0850566515741296</v>
      </c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spans="4:22" ht="12.75">
      <c r="D10" s="51"/>
      <c r="E10" s="54" t="s">
        <v>128</v>
      </c>
      <c r="F10" s="55">
        <f>F9*F9</f>
        <v>0.044728139366340174</v>
      </c>
      <c r="G10" s="55">
        <f>G9*G9</f>
        <v>1.1773480468203532</v>
      </c>
      <c r="H10" s="52" t="s">
        <v>129</v>
      </c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1" spans="4:22" ht="12.75">
      <c r="D11" s="51"/>
      <c r="E11" s="54" t="s">
        <v>130</v>
      </c>
      <c r="F11" s="52">
        <f>F10*F9</f>
        <v>0.009459566806431646</v>
      </c>
      <c r="G11" s="52">
        <f>G10*G9</f>
        <v>-1.2774893889329324</v>
      </c>
      <c r="H11" s="52" t="s">
        <v>131</v>
      </c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</row>
    <row r="12" spans="4:22" ht="12.75">
      <c r="D12" s="51"/>
      <c r="E12" s="54" t="s">
        <v>132</v>
      </c>
      <c r="F12" s="52">
        <f>F10*F10</f>
        <v>0.0020006064511747497</v>
      </c>
      <c r="G12" s="52">
        <f>G10*G10</f>
        <v>1.3861484233517005</v>
      </c>
      <c r="H12" s="52" t="s">
        <v>133</v>
      </c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</row>
    <row r="13" spans="1:22" ht="15.75">
      <c r="A13" s="18"/>
      <c r="B13" s="19" t="s">
        <v>134</v>
      </c>
      <c r="D13" s="51"/>
      <c r="E13" s="54" t="s">
        <v>135</v>
      </c>
      <c r="F13" s="52">
        <f>F11*F10</f>
        <v>0.0004231088224632801</v>
      </c>
      <c r="G13" s="52">
        <f>G11*G10</f>
        <v>-1.5040496368939145</v>
      </c>
      <c r="H13" s="52" t="s">
        <v>136</v>
      </c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4:22" ht="12.75">
      <c r="D14" s="51"/>
      <c r="E14" s="54" t="s">
        <v>137</v>
      </c>
      <c r="F14" s="52">
        <f>F11*F11</f>
        <v>8.948340416534342E-05</v>
      </c>
      <c r="G14" s="52">
        <f>G11*G11</f>
        <v>1.631979138836237</v>
      </c>
      <c r="H14" s="52" t="s">
        <v>138</v>
      </c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</row>
    <row r="15" spans="1:22" ht="12.75">
      <c r="A15" s="20" t="s">
        <v>117</v>
      </c>
      <c r="B15" s="20" t="s">
        <v>118</v>
      </c>
      <c r="C15" s="20" t="s">
        <v>119</v>
      </c>
      <c r="D15" s="51"/>
      <c r="E15" s="54" t="s">
        <v>139</v>
      </c>
      <c r="F15" s="52">
        <f>F11*F12</f>
        <v>1.8924870378265677E-05</v>
      </c>
      <c r="G15" s="52">
        <f>G11*G12</f>
        <v>-1.7707899023179117</v>
      </c>
      <c r="H15" s="52" t="s">
        <v>140</v>
      </c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</row>
    <row r="16" spans="1:22" ht="13.5">
      <c r="A16" s="21" t="s">
        <v>120</v>
      </c>
      <c r="B16" s="21" t="s">
        <v>121</v>
      </c>
      <c r="C16" s="22" t="s">
        <v>122</v>
      </c>
      <c r="D16" s="51"/>
      <c r="E16" s="54" t="s">
        <v>141</v>
      </c>
      <c r="F16" s="52">
        <f>F12*F12</f>
        <v>4.002426172482027E-06</v>
      </c>
      <c r="G16" s="52">
        <f>G12*G12</f>
        <v>1.9214074515604052</v>
      </c>
      <c r="H16" s="52" t="s">
        <v>142</v>
      </c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1:22" ht="12.75">
      <c r="A17" s="22" t="s">
        <v>123</v>
      </c>
      <c r="B17" s="22" t="s">
        <v>124</v>
      </c>
      <c r="C17" s="22" t="s">
        <v>125</v>
      </c>
      <c r="D17" s="51"/>
      <c r="E17" s="54" t="s">
        <v>143</v>
      </c>
      <c r="F17" s="52">
        <f>F12*F13</f>
        <v>8.4647423976899E-07</v>
      </c>
      <c r="G17" s="52">
        <f>G12*G13</f>
        <v>-2.084836032823197</v>
      </c>
      <c r="H17" s="52" t="s">
        <v>144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</row>
    <row r="18" spans="4:22" ht="13.5" thickBot="1">
      <c r="D18" s="51"/>
      <c r="E18" s="52"/>
      <c r="F18" s="52"/>
      <c r="G18" s="52"/>
      <c r="H18" s="52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</row>
    <row r="19" spans="1:22" ht="13.5" thickTop="1">
      <c r="A19" s="26">
        <f>F30</f>
        <v>41.0220695900012</v>
      </c>
      <c r="B19" s="27">
        <f>G30</f>
        <v>115.432623112711</v>
      </c>
      <c r="C19" s="28">
        <f>C8+C32</f>
        <v>1475.2577867765806</v>
      </c>
      <c r="D19" s="51"/>
      <c r="E19" s="52"/>
      <c r="F19" s="55" t="s">
        <v>145</v>
      </c>
      <c r="G19" s="55" t="s">
        <v>146</v>
      </c>
      <c r="H19" s="55" t="s">
        <v>147</v>
      </c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</row>
    <row r="20" spans="1:22" ht="12.75">
      <c r="A20" s="29"/>
      <c r="B20" s="30"/>
      <c r="C20" s="31"/>
      <c r="D20" s="51"/>
      <c r="E20" s="52"/>
      <c r="F20" s="52">
        <f>0.16984-0.76173*F9+0.09585*G9+1.09919*F10-4.57801*F11-1.13239*F10*G9+0.49831*G11</f>
        <v>-0.6710303887154274</v>
      </c>
      <c r="G20" s="52">
        <f>-0.88437+2.05061*G9+0.26361*F10-0.76804*F9*G9+0.13374*G10-1.31974*F11-0.52162*F10*G9</f>
        <v>-2.7510684111013464</v>
      </c>
      <c r="H20" s="52">
        <f>-36.526+3.9*F9-4.723*G9-21.553*F10+7.294*F9*G9+8.886*G10-8.44*F10*G9-2.93*F9*G10</f>
        <v>-23.072343691233645</v>
      </c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</row>
    <row r="21" spans="1:22" ht="12.75">
      <c r="A21" s="32" t="s">
        <v>148</v>
      </c>
      <c r="B21" s="33" t="s">
        <v>148</v>
      </c>
      <c r="C21" s="34" t="s">
        <v>148</v>
      </c>
      <c r="D21" s="51"/>
      <c r="E21" s="52"/>
      <c r="F21" s="52">
        <f>-0.98399*F11*G9+0.12415*F9*G11+0.1145*G12+27.05396*F13+2.03449*F12*G9+0.73357*F10*G11</f>
        <v>0.10038577721170894</v>
      </c>
      <c r="G21" s="52">
        <f>-1.05853*F9*G10-0.49211*F10*G10+2.17204*F9*G11-0.06004*G12+0.30139*F12*G9+1.88585*F9*G12</f>
        <v>-0.4073492895044465</v>
      </c>
      <c r="H21" s="52">
        <f>56.937*F12-58.756*F11*G9-4.061*G12+4.447*F12*G9+4.903*F10*G11-55.873*F14+212.005*F13*G9</f>
        <v>-5.304298922672172</v>
      </c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</row>
    <row r="22" spans="1:22" ht="12.75">
      <c r="A22" s="35" t="s">
        <v>149</v>
      </c>
      <c r="B22" s="36" t="s">
        <v>149</v>
      </c>
      <c r="C22" s="37" t="s">
        <v>150</v>
      </c>
      <c r="D22" s="51"/>
      <c r="E22" s="52"/>
      <c r="F22" s="52">
        <f>-0.37548*G13-0.14197*G14-59.96555*F15+0.07439*G15-4.76082*F16+0.03385*G16+49.0432*F17</f>
        <v>0.2652466794361906</v>
      </c>
      <c r="G22" s="52">
        <f>-0.81162*F9*G13-0.05183*G14-0.96723*F9*G14-0.12948*F11*G13+3.41827*F17-0.44507*F16*G9</f>
        <v>-0.1584059593280441</v>
      </c>
      <c r="H22" s="52">
        <f>3.081*G14-254.511*F15*G9-0.756*G16+30.654*F16*G9-0.122*F9*G17</f>
        <v>3.6344293904864693</v>
      </c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2" ht="13.5" thickBot="1">
      <c r="A23" s="38">
        <v>0.042</v>
      </c>
      <c r="B23" s="39">
        <f>H34</f>
        <v>0.031749785517595976</v>
      </c>
      <c r="C23" s="40"/>
      <c r="D23" s="51"/>
      <c r="E23" s="52"/>
      <c r="F23" s="52">
        <f>-1.30575*F14*G11-0.07653*F11*G17+0.08646*F12*G17</f>
        <v>0.0012979440205064786</v>
      </c>
      <c r="G23" s="52">
        <f>0.18882*F9*G16-0.01444*G17+0.04794*F9*G17-0.59013*F17*G11</f>
        <v>0.08569654999000628</v>
      </c>
      <c r="H23" s="52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13.5" thickTop="1">
      <c r="A24" s="41"/>
      <c r="D24" s="51"/>
      <c r="E24" s="52"/>
      <c r="F24" s="52"/>
      <c r="G24" s="52"/>
      <c r="H24" s="52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</row>
    <row r="25" spans="4:22" ht="12.75">
      <c r="D25" s="51"/>
      <c r="E25" s="52"/>
      <c r="F25" s="52">
        <f>SUM(F20:F23)</f>
        <v>-0.3040999880470214</v>
      </c>
      <c r="G25" s="52">
        <f>SUM(G20:G23)</f>
        <v>-3.231127109943831</v>
      </c>
      <c r="H25" s="52">
        <f>SUM(H20:H22)</f>
        <v>-24.742213223419345</v>
      </c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</row>
    <row r="26" spans="1:22" ht="15.75">
      <c r="A26" s="18"/>
      <c r="B26" s="19" t="s">
        <v>151</v>
      </c>
      <c r="D26" s="51"/>
      <c r="E26" s="52"/>
      <c r="F26" s="52"/>
      <c r="G26" s="52"/>
      <c r="H26" s="52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</row>
    <row r="27" spans="4:22" ht="12.75">
      <c r="D27" s="51"/>
      <c r="E27" s="52"/>
      <c r="F27" s="52"/>
      <c r="G27" s="52"/>
      <c r="H27" s="52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</row>
    <row r="28" spans="1:22" ht="12.75">
      <c r="A28" s="20" t="s">
        <v>117</v>
      </c>
      <c r="B28" s="20" t="s">
        <v>118</v>
      </c>
      <c r="C28" s="20" t="s">
        <v>119</v>
      </c>
      <c r="D28" s="51"/>
      <c r="E28" s="52"/>
      <c r="F28" s="52"/>
      <c r="G28" s="52"/>
      <c r="H28" s="52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</row>
    <row r="29" spans="1:22" ht="13.5">
      <c r="A29" s="21" t="s">
        <v>152</v>
      </c>
      <c r="B29" s="21" t="s">
        <v>153</v>
      </c>
      <c r="C29" s="21" t="s">
        <v>154</v>
      </c>
      <c r="D29" s="51"/>
      <c r="E29" s="52"/>
      <c r="F29" s="53">
        <f>F8+F37</f>
        <v>41.039082194447765</v>
      </c>
      <c r="G29" s="53">
        <f>G8-G37</f>
        <v>115.72395309086386</v>
      </c>
      <c r="H29" s="52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</row>
    <row r="30" spans="1:22" ht="12.75">
      <c r="A30" s="22" t="s">
        <v>155</v>
      </c>
      <c r="B30" s="22" t="s">
        <v>155</v>
      </c>
      <c r="C30" s="22" t="s">
        <v>125</v>
      </c>
      <c r="D30" s="51"/>
      <c r="E30" s="52"/>
      <c r="F30" s="52">
        <f>(TRUNC(ABS(F29))+TRUNC(((ABS(F29)-TRUNC(ABS(F29)))*60))/100+(ABS(F29)-TRUNC(ABS(F29))-TRUNC(((ABS(F29)-TRUNC(ABS(F29)))*60))/60)*0.36)*(F29/ABS(F29))</f>
        <v>41.0220695900012</v>
      </c>
      <c r="G30" s="52">
        <f>(TRUNC(ABS(G29))+TRUNC(((ABS(G29)-TRUNC(ABS(G29)))*60))/100+(ABS(G29)-TRUNC(ABS(G29))-TRUNC(((ABS(G29)-TRUNC(ABS(G29)))*60))/60)*0.36)*(G29/ABS(G29))</f>
        <v>115.432623112711</v>
      </c>
      <c r="H30" s="52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4:22" ht="13.5" thickBot="1">
      <c r="D31" s="51"/>
      <c r="E31" s="52"/>
      <c r="F31" s="52">
        <f>todms(RADIANS(F29))</f>
        <v>41.0220695899532</v>
      </c>
      <c r="G31" s="52">
        <f>todms(RADIANS(G29))</f>
        <v>115.43262311257564</v>
      </c>
      <c r="H31" s="52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22" ht="15" thickBot="1" thickTop="1">
      <c r="A32" s="42">
        <f>F25</f>
        <v>-0.3040999880470214</v>
      </c>
      <c r="B32" s="43">
        <f>G25</f>
        <v>-3.231127109943831</v>
      </c>
      <c r="C32" s="44">
        <f>H25</f>
        <v>-24.742213223419345</v>
      </c>
      <c r="D32" s="51"/>
      <c r="E32" s="52"/>
      <c r="F32" s="52"/>
      <c r="G32" s="52"/>
      <c r="H32" s="52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</row>
    <row r="33" spans="4:22" ht="13.5" thickTop="1">
      <c r="D33" s="51"/>
      <c r="E33" s="52"/>
      <c r="F33" s="52"/>
      <c r="G33" s="52"/>
      <c r="H33" s="52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</row>
    <row r="34" spans="4:22" ht="12.75">
      <c r="D34" s="51"/>
      <c r="E34" s="52"/>
      <c r="F34" s="52"/>
      <c r="G34" s="52">
        <f>(1.3/1853)*60</f>
        <v>0.04209390178089585</v>
      </c>
      <c r="H34" s="52">
        <f>G34*COS(RADIANS(F8))</f>
        <v>0.031749785517595976</v>
      </c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</row>
    <row r="35" spans="1:22" ht="15.75">
      <c r="A35" s="18" t="s">
        <v>156</v>
      </c>
      <c r="D35" s="51"/>
      <c r="E35" s="52"/>
      <c r="F35" s="52"/>
      <c r="G35" s="52"/>
      <c r="H35" s="52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</row>
    <row r="36" spans="4:22" ht="12.75">
      <c r="D36" s="51"/>
      <c r="E36" s="52"/>
      <c r="F36" s="52"/>
      <c r="G36" s="52"/>
      <c r="H36" s="52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1:22" ht="12.75">
      <c r="A37" t="s">
        <v>157</v>
      </c>
      <c r="D37" s="51"/>
      <c r="E37" s="51"/>
      <c r="F37" s="51">
        <f>A32/3600</f>
        <v>-8.447221890195039E-05</v>
      </c>
      <c r="G37" s="51">
        <f>B32/3600</f>
        <v>-0.0008975353083177308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</row>
    <row r="38" spans="1:22" ht="12.75">
      <c r="A38" t="s">
        <v>16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</row>
    <row r="39" spans="1:22" ht="12.75">
      <c r="A39" t="s">
        <v>17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</row>
    <row r="40" spans="1:22" ht="12.75">
      <c r="A40" t="s">
        <v>18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</row>
    <row r="41" spans="1:22" ht="12.75">
      <c r="A41" t="s">
        <v>19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</row>
    <row r="42" spans="1:22" ht="12.75">
      <c r="A42" t="s">
        <v>20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</row>
    <row r="43" spans="1:22" ht="12.75">
      <c r="A43" t="s">
        <v>21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</row>
    <row r="44" spans="4:22" ht="12.75"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</row>
    <row r="45" spans="1:22" ht="12.75">
      <c r="A45" t="s">
        <v>22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</row>
    <row r="46" spans="1:22" ht="12.75">
      <c r="A46" t="s">
        <v>23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</row>
    <row r="47" spans="1:22" ht="12.75">
      <c r="A47" t="s">
        <v>159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</row>
    <row r="48" spans="1:22" ht="12.75">
      <c r="A48" t="s">
        <v>160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</row>
    <row r="49" spans="1:22" ht="12.75">
      <c r="A49" t="s">
        <v>161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</row>
    <row r="50" spans="1:22" ht="12.75">
      <c r="A50" t="s">
        <v>162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</row>
    <row r="51" spans="1:22" ht="12.75">
      <c r="A51" t="s">
        <v>163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</row>
    <row r="52" spans="4:22" ht="12.75"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</row>
    <row r="53" spans="1:22" ht="12.75">
      <c r="A53" t="s">
        <v>164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</row>
    <row r="54" spans="1:22" ht="12.75">
      <c r="A54" t="s">
        <v>165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</row>
    <row r="55" spans="1:22" ht="12.75">
      <c r="A55" t="s">
        <v>166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</row>
    <row r="56" spans="4:22" ht="12.75"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</row>
    <row r="57" spans="1:22" ht="12.75">
      <c r="A57" t="s">
        <v>167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</row>
    <row r="58" spans="1:22" ht="12.75">
      <c r="A58" t="s">
        <v>168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</row>
    <row r="59" spans="1:22" ht="12.75">
      <c r="A59" t="s">
        <v>169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</row>
    <row r="60" spans="1:22" ht="12.75">
      <c r="A60" t="s">
        <v>179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</row>
    <row r="61" spans="1:22" ht="12.75">
      <c r="A61" t="s">
        <v>180</v>
      </c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</row>
    <row r="62" spans="1:22" ht="12.75">
      <c r="A62" t="s">
        <v>181</v>
      </c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</row>
    <row r="63" spans="4:22" ht="12.75"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</row>
    <row r="64" spans="4:22" ht="12.75"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</row>
    <row r="65" spans="1:22" ht="12.75">
      <c r="A65" t="s">
        <v>37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</row>
    <row r="66" spans="4:22" ht="12.75"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</row>
    <row r="67" spans="1:22" ht="12.75">
      <c r="A67" t="s">
        <v>182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</row>
    <row r="68" spans="1:22" ht="12.75">
      <c r="A68" t="s">
        <v>183</v>
      </c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</row>
    <row r="69" spans="1:22" ht="12.75">
      <c r="A69" t="s">
        <v>184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</row>
    <row r="70" spans="1:22" ht="12.75">
      <c r="A70" t="s">
        <v>185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</row>
    <row r="71" spans="1:22" ht="12.75">
      <c r="A71" t="s">
        <v>186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</row>
    <row r="72" spans="1:22" ht="12.75">
      <c r="A72" t="s">
        <v>187</v>
      </c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</row>
    <row r="73" spans="4:22" ht="12.75"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</row>
    <row r="74" spans="1:22" ht="12.75">
      <c r="A74" t="s">
        <v>235</v>
      </c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</row>
    <row r="75" spans="1:22" ht="12.75">
      <c r="A75" t="s">
        <v>188</v>
      </c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</row>
    <row r="76" spans="1:22" ht="12.75">
      <c r="A76" t="s">
        <v>189</v>
      </c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</row>
    <row r="77" spans="1:22" ht="12.75">
      <c r="A77" t="s">
        <v>35</v>
      </c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</row>
    <row r="78" spans="1:22" ht="12.75">
      <c r="A78" t="s">
        <v>36</v>
      </c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</row>
    <row r="79" spans="4:22" ht="12.75"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</row>
    <row r="80" spans="1:22" ht="12.75">
      <c r="A80" s="17"/>
      <c r="B80" s="17"/>
      <c r="C80" s="17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</row>
    <row r="81" spans="1:22" ht="12.75">
      <c r="A81" s="17"/>
      <c r="B81" s="17"/>
      <c r="C81" s="17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</row>
    <row r="82" spans="1:22" ht="12.75">
      <c r="A82" s="17"/>
      <c r="B82" s="17"/>
      <c r="C82" s="17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</row>
    <row r="83" spans="1:22" ht="12.75">
      <c r="A83" s="17"/>
      <c r="B83" s="17"/>
      <c r="C83" s="17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</row>
    <row r="84" spans="1:22" ht="12.75">
      <c r="A84" s="17"/>
      <c r="B84" s="17"/>
      <c r="C84" s="17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</row>
    <row r="85" spans="1:22" ht="12.75">
      <c r="A85" s="17"/>
      <c r="B85" s="17"/>
      <c r="C85" s="17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2:L45"/>
  <sheetViews>
    <sheetView tabSelected="1" workbookViewId="0" topLeftCell="A1">
      <selection activeCell="S37" sqref="S37"/>
    </sheetView>
  </sheetViews>
  <sheetFormatPr defaultColWidth="11.00390625" defaultRowHeight="12.75"/>
  <cols>
    <col min="1" max="1" width="19.875" style="0" customWidth="1"/>
    <col min="2" max="2" width="18.375" style="0" customWidth="1"/>
    <col min="3" max="3" width="12.75390625" style="0" customWidth="1"/>
    <col min="8" max="8" width="10.75390625" style="0" hidden="1" customWidth="1"/>
    <col min="9" max="9" width="15.125" style="0" hidden="1" customWidth="1"/>
    <col min="10" max="11" width="10.75390625" style="0" hidden="1" customWidth="1"/>
    <col min="12" max="12" width="12.75390625" style="0" hidden="1" customWidth="1"/>
  </cols>
  <sheetData>
    <row r="2" spans="2:10" ht="15.75">
      <c r="B2" s="7" t="s">
        <v>197</v>
      </c>
      <c r="I2" t="s">
        <v>70</v>
      </c>
      <c r="J2" t="s">
        <v>69</v>
      </c>
    </row>
    <row r="3" spans="2:10" ht="15.75">
      <c r="B3" s="7" t="s">
        <v>40</v>
      </c>
      <c r="H3" t="s">
        <v>57</v>
      </c>
      <c r="J3">
        <f>torad(B13)</f>
        <v>0.6065019150700002</v>
      </c>
    </row>
    <row r="4" spans="8:9" ht="12.75">
      <c r="H4" t="s">
        <v>54</v>
      </c>
      <c r="I4">
        <f>torad(B6)</f>
        <v>0.7228571985366666</v>
      </c>
    </row>
    <row r="5" spans="8:10" ht="13.5" thickBot="1">
      <c r="H5" t="s">
        <v>47</v>
      </c>
      <c r="I5">
        <f>D6*(1-D7)/(1-D7*SIN(I4)^2)^1.5</f>
        <v>6363382.158656323</v>
      </c>
      <c r="J5">
        <f>D6*(1-D7)/(1-D7*SIN(J4)^2)^1.5</f>
        <v>6335439.32722994</v>
      </c>
    </row>
    <row r="6" spans="1:10" ht="13.5">
      <c r="A6" s="2" t="s">
        <v>195</v>
      </c>
      <c r="B6" s="48">
        <v>41.25</v>
      </c>
      <c r="C6" t="s">
        <v>233</v>
      </c>
      <c r="D6">
        <v>6378137</v>
      </c>
      <c r="E6" t="s">
        <v>41</v>
      </c>
      <c r="F6" t="s">
        <v>43</v>
      </c>
      <c r="H6" t="s">
        <v>45</v>
      </c>
      <c r="I6">
        <f>D6/(SQRT(1-D7*SIN(I4)^2))</f>
        <v>6387500.298350701</v>
      </c>
      <c r="J6">
        <f>D6/(SQRT(1-D7*SIN(J3)^2))</f>
        <v>6385084.493197915</v>
      </c>
    </row>
    <row r="7" spans="1:10" ht="16.5" thickBot="1">
      <c r="A7" s="2" t="s">
        <v>194</v>
      </c>
      <c r="B7" s="49">
        <v>115.452</v>
      </c>
      <c r="C7" t="s">
        <v>234</v>
      </c>
      <c r="D7">
        <v>0.00669438</v>
      </c>
      <c r="E7" t="s">
        <v>42</v>
      </c>
      <c r="F7" t="s">
        <v>44</v>
      </c>
      <c r="H7" t="s">
        <v>46</v>
      </c>
      <c r="I7" s="15">
        <f>torad(-B7)-torad(-B12)</f>
        <v>-0.0030058448228889034</v>
      </c>
      <c r="J7">
        <v>0</v>
      </c>
    </row>
    <row r="8" spans="8:10" ht="12.75">
      <c r="H8" t="s">
        <v>48</v>
      </c>
      <c r="I8">
        <f>I6/I5</f>
        <v>1.0037901447835518</v>
      </c>
      <c r="J8">
        <f>J6/J5</f>
        <v>1.0078361047125175</v>
      </c>
    </row>
    <row r="9" spans="8:12" ht="12.75">
      <c r="H9" t="s">
        <v>49</v>
      </c>
      <c r="I9">
        <f>TAN(I4)</f>
        <v>0.8821357064564668</v>
      </c>
      <c r="J9">
        <f>TAN(J3)</f>
        <v>0.6937246842619208</v>
      </c>
      <c r="L9">
        <f>todms(ATAN(-SIN(I4)*TAN(I7)))</f>
        <v>0.06501493168770356</v>
      </c>
    </row>
    <row r="10" spans="8:10" ht="13.5" thickBot="1">
      <c r="H10" t="s">
        <v>50</v>
      </c>
      <c r="I10">
        <f>1-D7/4-3*D7^2/64-5*D7^3/256</f>
        <v>0.9983242984503243</v>
      </c>
      <c r="J10">
        <f>I10*$D$6/DEGREES(1)</f>
        <v>111132.95255004217</v>
      </c>
    </row>
    <row r="11" spans="1:10" ht="12.75">
      <c r="A11" s="2" t="s">
        <v>38</v>
      </c>
      <c r="B11" s="3" t="s">
        <v>196</v>
      </c>
      <c r="H11" t="s">
        <v>51</v>
      </c>
      <c r="I11">
        <f>3/8*(D7+D7^2/4+15*D7^3/128)</f>
        <v>0.002514607064228144</v>
      </c>
      <c r="J11">
        <f>I11*$D$6</f>
        <v>16038.508356814902</v>
      </c>
    </row>
    <row r="12" spans="1:10" ht="15">
      <c r="A12" s="2" t="s">
        <v>82</v>
      </c>
      <c r="B12" s="50">
        <v>115.35</v>
      </c>
      <c r="C12" s="16" t="s">
        <v>109</v>
      </c>
      <c r="H12" t="s">
        <v>52</v>
      </c>
      <c r="I12">
        <f>15/256*(D7^2+0.75*D7^3)</f>
        <v>2.6390466021299826E-06</v>
      </c>
      <c r="J12">
        <f>I12*$D$6</f>
        <v>16.832200777769522</v>
      </c>
    </row>
    <row r="13" spans="1:10" ht="12.75">
      <c r="A13" s="2" t="s">
        <v>39</v>
      </c>
      <c r="B13" s="50">
        <v>34.45</v>
      </c>
      <c r="C13" s="16" t="s">
        <v>110</v>
      </c>
      <c r="H13" t="s">
        <v>53</v>
      </c>
      <c r="I13">
        <f>35*D7^3/3072</f>
        <v>3.418046101696858E-09</v>
      </c>
      <c r="J13">
        <f>I13*$D$6</f>
        <v>0.021800766308938492</v>
      </c>
    </row>
    <row r="14" spans="1:9" ht="15">
      <c r="A14" s="2" t="s">
        <v>83</v>
      </c>
      <c r="B14" s="4">
        <v>0.9999</v>
      </c>
      <c r="C14" s="1"/>
      <c r="H14" t="s">
        <v>55</v>
      </c>
      <c r="I14">
        <f>D6*(I10*I4-I11*SIN(2*I4)+I12*SIN(4*I4)-I13*SIN(6*I4))</f>
        <v>4586847.432074125</v>
      </c>
    </row>
    <row r="15" spans="1:11" ht="15">
      <c r="A15" s="2" t="s">
        <v>84</v>
      </c>
      <c r="B15" s="5">
        <v>200000</v>
      </c>
      <c r="C15" s="1" t="s">
        <v>77</v>
      </c>
      <c r="H15" t="s">
        <v>56</v>
      </c>
      <c r="J15">
        <f>D6*(I10*J3-I11*SIN(2*J3)+I12*SIN(4*J3)-I13*SIN(6*J3))</f>
        <v>3846858.3297113595</v>
      </c>
      <c r="K15">
        <f>I14-J15</f>
        <v>739989.1023627655</v>
      </c>
    </row>
    <row r="16" spans="1:3" ht="15.75" thickBot="1">
      <c r="A16" s="2" t="s">
        <v>191</v>
      </c>
      <c r="B16" s="6">
        <v>8000000</v>
      </c>
      <c r="C16" s="1" t="s">
        <v>77</v>
      </c>
    </row>
    <row r="18" spans="8:9" ht="13.5" thickBot="1">
      <c r="H18" t="s">
        <v>58</v>
      </c>
      <c r="I18">
        <f>I6*I7*COS(I4)</f>
        <v>-14398.314506076335</v>
      </c>
    </row>
    <row r="19" spans="1:9" ht="12.75">
      <c r="A19" s="8" t="s">
        <v>193</v>
      </c>
      <c r="B19" s="9">
        <f>I22+B15</f>
        <v>185603.1225745375</v>
      </c>
      <c r="C19" s="1" t="s">
        <v>77</v>
      </c>
      <c r="H19" t="s">
        <v>59</v>
      </c>
      <c r="I19">
        <f>I6*I7^3/6*COS(I4)^3*(I8-I9^2)</f>
        <v>-0.002751138273563524</v>
      </c>
    </row>
    <row r="20" spans="1:9" ht="13.5" thickBot="1">
      <c r="A20" s="8" t="s">
        <v>192</v>
      </c>
      <c r="B20" s="10">
        <f>(I28-J28)+B16</f>
        <v>8739929.4172588</v>
      </c>
      <c r="C20" s="1" t="s">
        <v>77</v>
      </c>
      <c r="H20" t="s">
        <v>60</v>
      </c>
      <c r="I20">
        <f>I6*I7^5/120*COS(I4)^5*(4*I8^3*(1-6*I9^2)+I8^2*(1+8*I9^2)-I8*2*I9^2+I9^4)</f>
        <v>2.639304336276593E-08</v>
      </c>
    </row>
    <row r="21" spans="8:9" ht="13.5" thickBot="1">
      <c r="H21" t="s">
        <v>61</v>
      </c>
      <c r="I21">
        <f>I6*I7^7/5040*COS(I4)^7*(61-479+I9^2+179*I9^4+I9^6)</f>
        <v>1.155639746754551E-13</v>
      </c>
    </row>
    <row r="22" spans="1:9" ht="13.5">
      <c r="A22" s="2" t="s">
        <v>203</v>
      </c>
      <c r="B22" s="46">
        <f>todms(I34)</f>
        <v>0.06501493247957552</v>
      </c>
      <c r="C22" s="1" t="s">
        <v>76</v>
      </c>
      <c r="H22" t="s">
        <v>62</v>
      </c>
      <c r="I22">
        <f>B14*(I18+I19+I20+I21)</f>
        <v>-14396.877425462497</v>
      </c>
    </row>
    <row r="23" spans="1:2" ht="13.5" thickBot="1">
      <c r="A23" s="2" t="s">
        <v>201</v>
      </c>
      <c r="B23" s="11">
        <f>I39</f>
        <v>0.9999025499477707</v>
      </c>
    </row>
    <row r="24" spans="8:12" ht="12.75">
      <c r="H24" t="s">
        <v>63</v>
      </c>
      <c r="I24">
        <f>I7^2/2*COS(I4)</f>
        <v>3.3877962500910354E-06</v>
      </c>
      <c r="L24">
        <f>I24*$I$6*SIN($I$4)</f>
        <v>14.315211994130054</v>
      </c>
    </row>
    <row r="25" spans="8:12" ht="12.75">
      <c r="H25" t="s">
        <v>64</v>
      </c>
      <c r="I25">
        <f>I7^4/24*COS(I4)^3*(4*I8^2+I8-I9^2)</f>
        <v>6.105196515774056E-12</v>
      </c>
      <c r="L25">
        <f>I25*$I$6</f>
        <v>3.899694456599645E-05</v>
      </c>
    </row>
    <row r="26" spans="1:12" ht="12.75">
      <c r="A26" s="45" t="s">
        <v>99</v>
      </c>
      <c r="H26" t="s">
        <v>65</v>
      </c>
      <c r="I26">
        <f>I7^6/720*COS(I4)^5*(8*I8^4*(11-24*I9^2)-28*I8^3*(1-6*I9^2)+I8^2*(1-32*I9^2)-2*I8*I9^2+I9^4)</f>
        <v>4.013943897918266E-18</v>
      </c>
      <c r="L26">
        <f>I26*$I$6</f>
        <v>2.5639067845515897E-11</v>
      </c>
    </row>
    <row r="27" spans="8:12" ht="12.75">
      <c r="H27" t="s">
        <v>66</v>
      </c>
      <c r="I27">
        <f>I7^8/40320*COS(I4)^7*(1385-3111*I9^2+543*I9^4-I9^6)</f>
        <v>-1.559754023430178E-23</v>
      </c>
      <c r="L27">
        <f>I27*$I$6</f>
        <v>-9.962929290013969E-17</v>
      </c>
    </row>
    <row r="28" spans="1:11" ht="12.75">
      <c r="A28" t="s">
        <v>4</v>
      </c>
      <c r="H28" t="s">
        <v>67</v>
      </c>
      <c r="I28">
        <f>B14*(I14+I6*SIN(I4)*(I24+I25+I26+I27))</f>
        <v>4586403.061137186</v>
      </c>
      <c r="J28">
        <f>B14*J15</f>
        <v>3846473.643878388</v>
      </c>
      <c r="K28" t="s">
        <v>68</v>
      </c>
    </row>
    <row r="29" spans="1:11" ht="12.75">
      <c r="A29" t="s">
        <v>27</v>
      </c>
      <c r="K29">
        <f>I28-J28</f>
        <v>739929.4172587981</v>
      </c>
    </row>
    <row r="30" spans="1:9" ht="12.75">
      <c r="A30" t="s">
        <v>5</v>
      </c>
      <c r="H30" t="s">
        <v>71</v>
      </c>
      <c r="I30">
        <f>-SIN(I4)*I7</f>
        <v>0.0019884566333217392</v>
      </c>
    </row>
    <row r="31" spans="1:9" ht="12.75">
      <c r="A31" t="s">
        <v>6</v>
      </c>
      <c r="H31" t="s">
        <v>72</v>
      </c>
      <c r="I31">
        <f>-SIN(I4)*I7^3/3*COS(I4)^2*(2*I8^2-I8)</f>
        <v>3.4062687038452513E-09</v>
      </c>
    </row>
    <row r="32" spans="8:9" ht="12.75">
      <c r="H32" t="s">
        <v>73</v>
      </c>
      <c r="I32">
        <f>-SIN(I4)*I7^5/15*COS(I4)^4*(I8^4*(11-24*I9^2)-I8^3*(11-36*I9^2)+2*I8^2*(1-7*I9^2)+I8*I9^2)</f>
        <v>4.2247470497726475E-15</v>
      </c>
    </row>
    <row r="33" spans="1:9" ht="12.75">
      <c r="A33" t="s">
        <v>7</v>
      </c>
      <c r="H33" t="s">
        <v>74</v>
      </c>
      <c r="I33">
        <f>-SIN(I4)*I7^7/315*COS(I4)^6*(17-26*I9^4-2*I9^4)</f>
        <v>3.7205520245819977E-23</v>
      </c>
    </row>
    <row r="34" spans="8:9" ht="12.75">
      <c r="H34" t="s">
        <v>75</v>
      </c>
      <c r="I34">
        <f>I30+I31+I32</f>
        <v>0.001988460039594668</v>
      </c>
    </row>
    <row r="35" ht="12.75">
      <c r="A35" t="s">
        <v>8</v>
      </c>
    </row>
    <row r="36" spans="1:9" ht="12.75">
      <c r="A36" t="s">
        <v>9</v>
      </c>
      <c r="H36" t="s">
        <v>78</v>
      </c>
      <c r="I36">
        <f>I7^2/2*COS(I4)^2*I8</f>
        <v>2.5502007927615094E-06</v>
      </c>
    </row>
    <row r="37" spans="1:9" ht="13.5">
      <c r="A37" t="s">
        <v>10</v>
      </c>
      <c r="H37" t="s">
        <v>79</v>
      </c>
      <c r="I37">
        <f>I7^4/24*COS(I4)^4*(4*I8^3*(1-6*I9^2)+I8^2*(1+24*I9^2)-4*I8*I9^2)</f>
        <v>1.9981810844726455E-12</v>
      </c>
    </row>
    <row r="38" spans="8:9" ht="12.75">
      <c r="H38" t="s">
        <v>80</v>
      </c>
      <c r="I38">
        <f>I7^6/720*COS(I4)^6*(61-148*I9^2+16*I9^4)</f>
        <v>-8.104242552070473E-18</v>
      </c>
    </row>
    <row r="39" spans="1:9" ht="12.75">
      <c r="A39" t="s">
        <v>11</v>
      </c>
      <c r="H39" t="s">
        <v>81</v>
      </c>
      <c r="I39">
        <f>B14*(1+I36+I37+I38)</f>
        <v>0.9999025499477707</v>
      </c>
    </row>
    <row r="40" ht="12.75">
      <c r="A40" t="s">
        <v>12</v>
      </c>
    </row>
    <row r="41" ht="12.75">
      <c r="A41" t="s">
        <v>178</v>
      </c>
    </row>
    <row r="43" ht="12.75">
      <c r="A43" t="s">
        <v>24</v>
      </c>
    </row>
    <row r="44" ht="12.75">
      <c r="A44" t="s">
        <v>25</v>
      </c>
    </row>
    <row r="45" ht="12.75">
      <c r="A45" t="s">
        <v>26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J46"/>
  <sheetViews>
    <sheetView workbookViewId="0" topLeftCell="A1">
      <selection activeCell="A1" sqref="A1"/>
    </sheetView>
  </sheetViews>
  <sheetFormatPr defaultColWidth="11.00390625" defaultRowHeight="12.75"/>
  <cols>
    <col min="1" max="1" width="20.25390625" style="0" customWidth="1"/>
    <col min="2" max="2" width="18.375" style="0" customWidth="1"/>
    <col min="3" max="3" width="13.625" style="0" customWidth="1"/>
    <col min="8" max="8" width="0" style="0" hidden="1" customWidth="1"/>
    <col min="9" max="9" width="14.25390625" style="0" hidden="1" customWidth="1"/>
    <col min="10" max="10" width="12.75390625" style="0" hidden="1" customWidth="1"/>
  </cols>
  <sheetData>
    <row r="2" ht="15.75">
      <c r="B2" s="7" t="s">
        <v>197</v>
      </c>
    </row>
    <row r="3" spans="2:9" ht="15.75">
      <c r="B3" s="7" t="s">
        <v>198</v>
      </c>
      <c r="H3" t="s">
        <v>205</v>
      </c>
      <c r="I3">
        <f>D6*SQRT(1-D7)</f>
        <v>6356752.314213634</v>
      </c>
    </row>
    <row r="4" spans="8:9" ht="12.75">
      <c r="H4" t="s">
        <v>204</v>
      </c>
      <c r="I4">
        <f>(D6-I3)/(D6+I3)</f>
        <v>0.001679220388864993</v>
      </c>
    </row>
    <row r="5" spans="8:9" ht="13.5" thickBot="1">
      <c r="H5" t="s">
        <v>75</v>
      </c>
      <c r="I5">
        <f>D6*(1-I4)*(1-I4^2)*(1+2.25*I4^2+225/64*I4^4)*PI()/180</f>
        <v>111132.95254764406</v>
      </c>
    </row>
    <row r="6" spans="1:9" ht="12.75">
      <c r="A6" s="2" t="s">
        <v>200</v>
      </c>
      <c r="B6" s="12">
        <v>188252.58</v>
      </c>
      <c r="C6" s="1" t="s">
        <v>77</v>
      </c>
      <c r="D6">
        <v>6378137</v>
      </c>
      <c r="E6" t="s">
        <v>41</v>
      </c>
      <c r="F6" t="s">
        <v>43</v>
      </c>
      <c r="H6" t="s">
        <v>50</v>
      </c>
      <c r="I6">
        <f>1-D7/4-3*D7^2/64-5*D7^3/256</f>
        <v>0.9983242984503243</v>
      </c>
    </row>
    <row r="7" spans="1:9" ht="15.75" thickBot="1">
      <c r="A7" s="2" t="s">
        <v>199</v>
      </c>
      <c r="B7" s="13">
        <v>8698004.186</v>
      </c>
      <c r="C7" s="1" t="s">
        <v>77</v>
      </c>
      <c r="D7">
        <v>0.00669438</v>
      </c>
      <c r="E7" t="s">
        <v>42</v>
      </c>
      <c r="F7" t="s">
        <v>44</v>
      </c>
      <c r="H7" t="s">
        <v>51</v>
      </c>
      <c r="I7">
        <f>3/8*(D7+D7^2/4+15*D7^3/128)</f>
        <v>0.002514607064228144</v>
      </c>
    </row>
    <row r="8" spans="8:9" ht="12.75">
      <c r="H8" t="s">
        <v>52</v>
      </c>
      <c r="I8">
        <f>15/256*(D7^2+0.75*D7^3)</f>
        <v>2.6390466021299826E-06</v>
      </c>
    </row>
    <row r="9" spans="8:9" ht="12.75">
      <c r="H9" t="s">
        <v>53</v>
      </c>
      <c r="I9">
        <f>35*D7^3/3072</f>
        <v>3.418046101696858E-09</v>
      </c>
    </row>
    <row r="10" spans="8:9" ht="13.5" thickBot="1">
      <c r="H10" t="s">
        <v>69</v>
      </c>
      <c r="I10">
        <f>torad(B13)</f>
        <v>0.6065019150700002</v>
      </c>
    </row>
    <row r="11" spans="1:9" ht="12.75">
      <c r="A11" s="2" t="s">
        <v>38</v>
      </c>
      <c r="B11" s="3" t="s">
        <v>196</v>
      </c>
      <c r="H11" t="s">
        <v>113</v>
      </c>
      <c r="I11">
        <f>D6*(I6*I10-I7*SIN(2*I10)+I8*SIN(4*I10)-I9*SIN(6*I10))</f>
        <v>3846858.3297113595</v>
      </c>
    </row>
    <row r="12" spans="1:9" ht="15">
      <c r="A12" s="2" t="s">
        <v>82</v>
      </c>
      <c r="B12" s="50">
        <v>115.35</v>
      </c>
      <c r="C12" s="16" t="s">
        <v>111</v>
      </c>
      <c r="H12" t="s">
        <v>114</v>
      </c>
      <c r="I12" s="14">
        <f>B7-B16</f>
        <v>698004.1860000007</v>
      </c>
    </row>
    <row r="13" spans="1:9" ht="12.75">
      <c r="A13" s="2" t="s">
        <v>39</v>
      </c>
      <c r="B13" s="50">
        <v>34.45</v>
      </c>
      <c r="C13" s="16" t="s">
        <v>112</v>
      </c>
      <c r="H13" t="s">
        <v>115</v>
      </c>
      <c r="I13" s="14">
        <f>I11+I12/B14</f>
        <v>4544932.3231107</v>
      </c>
    </row>
    <row r="14" spans="1:9" ht="15">
      <c r="A14" s="2" t="s">
        <v>83</v>
      </c>
      <c r="B14" s="4">
        <v>0.9999</v>
      </c>
      <c r="C14" s="1"/>
      <c r="H14" t="s">
        <v>206</v>
      </c>
      <c r="I14">
        <f>RADIANS(I13/I5)</f>
        <v>0.7137759908303462</v>
      </c>
    </row>
    <row r="15" spans="1:9" ht="15">
      <c r="A15" s="2" t="s">
        <v>84</v>
      </c>
      <c r="B15" s="5">
        <v>200000</v>
      </c>
      <c r="C15" s="1" t="s">
        <v>77</v>
      </c>
      <c r="H15" t="s">
        <v>208</v>
      </c>
      <c r="I15">
        <f>(1.5*I4-27*I4^3/32)*SIN(2*I14)</f>
        <v>0.0024930289162961804</v>
      </c>
    </row>
    <row r="16" spans="1:9" ht="15.75" thickBot="1">
      <c r="A16" s="2" t="s">
        <v>191</v>
      </c>
      <c r="B16" s="6">
        <v>8000000</v>
      </c>
      <c r="C16" s="1" t="s">
        <v>77</v>
      </c>
      <c r="H16" t="s">
        <v>210</v>
      </c>
      <c r="I16">
        <f>(21*I4^2/16-55*I4^4/32)*SIN(4*I14)</f>
        <v>1.0458355663280985E-06</v>
      </c>
    </row>
    <row r="17" spans="8:9" ht="12.75">
      <c r="H17" t="s">
        <v>209</v>
      </c>
      <c r="I17">
        <f>151*I4^3/96*SIN(6*I14)</f>
        <v>-6.770636278681585E-09</v>
      </c>
    </row>
    <row r="18" spans="8:9" ht="13.5" thickBot="1">
      <c r="H18" t="s">
        <v>211</v>
      </c>
      <c r="I18">
        <f>1097*I4^4/512*SIN(8*I14)</f>
        <v>-9.23583061292579E-12</v>
      </c>
    </row>
    <row r="19" spans="1:10" ht="13.5">
      <c r="A19" s="8" t="s">
        <v>195</v>
      </c>
      <c r="B19" s="46">
        <f>todms(I30)</f>
        <v>41.02210000048026</v>
      </c>
      <c r="C19" s="16" t="s">
        <v>112</v>
      </c>
      <c r="H19" t="s">
        <v>207</v>
      </c>
      <c r="I19">
        <f>SUM(I14:I18)</f>
        <v>0.7162700588023366</v>
      </c>
      <c r="J19">
        <f>todms(I19)</f>
        <v>41.02213048989803</v>
      </c>
    </row>
    <row r="20" spans="1:9" ht="15" thickBot="1">
      <c r="A20" s="8" t="s">
        <v>202</v>
      </c>
      <c r="B20" s="47">
        <f>todms(I37)</f>
        <v>115.43229999909045</v>
      </c>
      <c r="C20" s="16" t="s">
        <v>111</v>
      </c>
      <c r="H20" t="s">
        <v>212</v>
      </c>
      <c r="I20">
        <f>D6*(1-D7)/(1-D7*SIN(I19)^2)^1.5</f>
        <v>6362963.69457484</v>
      </c>
    </row>
    <row r="21" spans="8:9" ht="13.5" thickBot="1">
      <c r="H21" t="s">
        <v>213</v>
      </c>
      <c r="I21">
        <f>D6/(SQRT(1-D7*SIN(I19)^2))</f>
        <v>6387360.278574384</v>
      </c>
    </row>
    <row r="22" spans="1:9" ht="13.5">
      <c r="A22" s="2" t="s">
        <v>203</v>
      </c>
      <c r="B22" s="46">
        <f>todms(I43)</f>
        <v>0.05302574879036252</v>
      </c>
      <c r="C22" s="1" t="s">
        <v>76</v>
      </c>
      <c r="H22" t="s">
        <v>214</v>
      </c>
      <c r="I22">
        <f>I21/I20</f>
        <v>1.0038341542040141</v>
      </c>
    </row>
    <row r="23" spans="1:9" ht="13.5" thickBot="1">
      <c r="A23" s="2" t="s">
        <v>201</v>
      </c>
      <c r="B23" s="11">
        <f>I46</f>
        <v>0.9999016979218255</v>
      </c>
      <c r="H23" t="s">
        <v>215</v>
      </c>
      <c r="I23">
        <f>TAN(I19)</f>
        <v>0.8704901963661877</v>
      </c>
    </row>
    <row r="24" spans="8:9" ht="12.75">
      <c r="H24" t="s">
        <v>62</v>
      </c>
      <c r="I24" s="14">
        <f>B6-B15</f>
        <v>-11747.420000000013</v>
      </c>
    </row>
    <row r="25" spans="8:9" ht="12.75">
      <c r="H25" t="s">
        <v>220</v>
      </c>
      <c r="I25">
        <f>I24/B14/I21</f>
        <v>-0.0018393505841364831</v>
      </c>
    </row>
    <row r="26" spans="8:9" ht="12.75">
      <c r="H26" t="s">
        <v>216</v>
      </c>
      <c r="I26">
        <f>I25*I24/2</f>
        <v>10.803811919548314</v>
      </c>
    </row>
    <row r="27" spans="1:9" ht="12.75">
      <c r="A27" s="45" t="s">
        <v>99</v>
      </c>
      <c r="H27" t="s">
        <v>217</v>
      </c>
      <c r="I27">
        <f>I25^3*I24/24*(-4*I22^2+9*I22*(1-I23^2)+12*I23^2)</f>
        <v>2.2085941833982806E-05</v>
      </c>
    </row>
    <row r="28" spans="8:9" ht="12.75">
      <c r="H28" t="s">
        <v>218</v>
      </c>
      <c r="I28">
        <f>I25^5*I24/720*(8*I22^4*(11-24*I23^2)-12*I22^3*(21-71*I23^2)+15*I22^2*(15-98*I23^2+15*I23^4)+180*I22*(5*I23^2-3*I23^4)+360*I23^4)</f>
        <v>5.2997110032888284E-11</v>
      </c>
    </row>
    <row r="29" spans="1:9" ht="12.75">
      <c r="A29" t="s">
        <v>28</v>
      </c>
      <c r="H29" t="s">
        <v>219</v>
      </c>
      <c r="I29">
        <f>I25^7*I24/40320*(1385+3663*I23^2+4095*I23^4+1575*I23^6)</f>
        <v>1.4936161770037277E-16</v>
      </c>
    </row>
    <row r="30" spans="1:9" ht="12.75">
      <c r="A30" t="s">
        <v>85</v>
      </c>
      <c r="H30" t="s">
        <v>70</v>
      </c>
      <c r="I30">
        <f>I19-(I23/B14/I20)*(I26-I27+I28-I29)</f>
        <v>0.7162685806336501</v>
      </c>
    </row>
    <row r="31" ht="12.75">
      <c r="A31" t="s">
        <v>34</v>
      </c>
    </row>
    <row r="32" spans="8:9" ht="12.75">
      <c r="H32" t="s">
        <v>221</v>
      </c>
      <c r="I32">
        <f>I25/COS(I19)</f>
        <v>-0.0024386162361238885</v>
      </c>
    </row>
    <row r="33" spans="1:9" ht="12.75">
      <c r="A33" t="s">
        <v>29</v>
      </c>
      <c r="H33" t="s">
        <v>222</v>
      </c>
      <c r="I33">
        <f>-I25^3/6*(I22+2*I23^2)/COS(I19)</f>
        <v>3.4642411101441852E-09</v>
      </c>
    </row>
    <row r="34" spans="1:9" ht="12.75">
      <c r="A34" t="s">
        <v>30</v>
      </c>
      <c r="H34" t="s">
        <v>223</v>
      </c>
      <c r="I34">
        <f>+I25^5/120/COS(I19)*(-4*I22^3*(1-6*I23^2)+I22^2*(9-68*I23^2)+72*I22*I23^2+24*I23^4)</f>
        <v>-9.314436577235577E-15</v>
      </c>
    </row>
    <row r="35" spans="8:9" ht="12.75">
      <c r="H35" t="s">
        <v>224</v>
      </c>
      <c r="I35">
        <f>-I25^7/5040/COS(I19)*(61+662*I23^2+1320*I23^4+720*I23^6)</f>
        <v>3.0613089924587003E-20</v>
      </c>
    </row>
    <row r="36" spans="1:9" ht="12.75">
      <c r="A36" t="s">
        <v>31</v>
      </c>
      <c r="H36" t="s">
        <v>225</v>
      </c>
      <c r="I36">
        <f>SUM(I32:I35)</f>
        <v>-0.002438612771892093</v>
      </c>
    </row>
    <row r="37" spans="1:9" ht="13.5">
      <c r="A37" t="s">
        <v>32</v>
      </c>
      <c r="H37" t="s">
        <v>226</v>
      </c>
      <c r="I37">
        <f>torad(B12)-I36</f>
        <v>2.019748339875225</v>
      </c>
    </row>
    <row r="38" ht="12.75">
      <c r="A38" t="s">
        <v>33</v>
      </c>
    </row>
    <row r="39" spans="8:9" ht="12.75">
      <c r="H39" t="s">
        <v>227</v>
      </c>
      <c r="I39">
        <f>-I23*I25</f>
        <v>0.0016011366511712293</v>
      </c>
    </row>
    <row r="40" spans="8:9" ht="12.75">
      <c r="H40" t="s">
        <v>228</v>
      </c>
      <c r="I40">
        <f>I23*I25^3/3*(-2*I22^2+3*I22+I23^2)</f>
        <v>-3.166929771696896E-09</v>
      </c>
    </row>
    <row r="41" spans="8:9" ht="12.75">
      <c r="H41" t="s">
        <v>229</v>
      </c>
      <c r="I41">
        <f>-I23*I25^5/15*(I22^4*(11-24*I23^2)-3*I22^3*(8-23*I23^2)+5*I22^2*(3-14*I23^2)+30*I22*I23^2+3*I23^4)</f>
        <v>9.19023085715087E-15</v>
      </c>
    </row>
    <row r="42" spans="8:9" ht="12.75">
      <c r="H42" t="s">
        <v>230</v>
      </c>
      <c r="I42">
        <f>I23*I25^7/315*(17+77*I23^2+105*I23^4+45*I23^6)</f>
        <v>-3.055215878266551E-20</v>
      </c>
    </row>
    <row r="43" spans="8:9" ht="12.75">
      <c r="H43" t="s">
        <v>231</v>
      </c>
      <c r="I43">
        <f>SUM(I39:I42)</f>
        <v>0.0016011334842506479</v>
      </c>
    </row>
    <row r="45" spans="8:9" ht="12.75">
      <c r="H45" t="s">
        <v>232</v>
      </c>
      <c r="I45">
        <f>I24^2/B14^2/I20/I21</f>
        <v>3.3961823223984784E-06</v>
      </c>
    </row>
    <row r="46" spans="8:9" ht="12.75">
      <c r="H46" t="s">
        <v>81</v>
      </c>
      <c r="I46">
        <f>B14*(1+I45/2+I45^2/24/(4*I22*(1-6*I23^2)-3*(1-16*I23^2)-24*I23^2/I22)+I45^3/720)</f>
        <v>0.9999016979218255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OSU-CEEGS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Hazelton</dc:creator>
  <cp:keywords/>
  <dc:description/>
  <cp:lastModifiedBy>Bill Hazelton</cp:lastModifiedBy>
  <dcterms:created xsi:type="dcterms:W3CDTF">2005-03-09T13:35:57Z</dcterms:created>
  <dcterms:modified xsi:type="dcterms:W3CDTF">2015-07-19T05:41:32Z</dcterms:modified>
  <cp:category/>
  <cp:version/>
  <cp:contentType/>
  <cp:contentStatus/>
</cp:coreProperties>
</file>