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200" yWindow="2300" windowWidth="26420" windowHeight="13560" tabRatio="557" activeTab="1"/>
  </bookViews>
  <sheets>
    <sheet name="1927 Lambert SPCS" sheetId="1" r:id="rId1"/>
    <sheet name="1983 Lambert SPCS" sheetId="2" r:id="rId2"/>
    <sheet name="1927 Trans Merc SPCS" sheetId="3" r:id="rId3"/>
    <sheet name="1983 Trans Merc SPCS" sheetId="4" r:id="rId4"/>
  </sheets>
  <definedNames>
    <definedName name="_xlnm.Print_Area" localSheetId="0">'1927 Lambert SPCS'!$A$1:$T$149</definedName>
    <definedName name="_xlnm.Print_Area" localSheetId="1">'1983 Lambert SPCS'!$A$1:$T$150</definedName>
  </definedNames>
  <calcPr fullCalcOnLoad="1"/>
</workbook>
</file>

<file path=xl/sharedStrings.xml><?xml version="1.0" encoding="utf-8"?>
<sst xmlns="http://schemas.openxmlformats.org/spreadsheetml/2006/main" count="847" uniqueCount="126">
  <si>
    <t>Alaska</t>
  </si>
  <si>
    <t>Zone 10</t>
  </si>
  <si>
    <t>Arkansas</t>
  </si>
  <si>
    <t>North</t>
  </si>
  <si>
    <t>South</t>
  </si>
  <si>
    <t>Standard Parallels</t>
  </si>
  <si>
    <t>California</t>
  </si>
  <si>
    <t>I</t>
  </si>
  <si>
    <t>II</t>
  </si>
  <si>
    <t>III</t>
  </si>
  <si>
    <t>IV</t>
  </si>
  <si>
    <t>V</t>
  </si>
  <si>
    <t>VI</t>
  </si>
  <si>
    <t>VII</t>
  </si>
  <si>
    <t>Origin</t>
  </si>
  <si>
    <t>Longitude</t>
  </si>
  <si>
    <t>Latitude</t>
  </si>
  <si>
    <t>West</t>
  </si>
  <si>
    <t>Colorado</t>
  </si>
  <si>
    <t>Central</t>
  </si>
  <si>
    <t>Connecticut</t>
  </si>
  <si>
    <t>Florida</t>
  </si>
  <si>
    <t>Iowa</t>
  </si>
  <si>
    <t>Kansas</t>
  </si>
  <si>
    <t>Kentucky</t>
  </si>
  <si>
    <t>Louisiana</t>
  </si>
  <si>
    <t>Offshore</t>
  </si>
  <si>
    <t>Maryland</t>
  </si>
  <si>
    <t>Massachusetts</t>
  </si>
  <si>
    <t>Mainland</t>
  </si>
  <si>
    <t>Island</t>
  </si>
  <si>
    <t>Minnesota</t>
  </si>
  <si>
    <r>
      <t>Michigan</t>
    </r>
    <r>
      <rPr>
        <sz val="10"/>
        <rFont val="Verdana"/>
        <family val="0"/>
      </rPr>
      <t xml:space="preserve"> (current)</t>
    </r>
  </si>
  <si>
    <t>Montana</t>
  </si>
  <si>
    <t>Nebraska</t>
  </si>
  <si>
    <t>New York</t>
  </si>
  <si>
    <t>Long Island</t>
  </si>
  <si>
    <t>North Carolina</t>
  </si>
  <si>
    <t>North Dakota</t>
  </si>
  <si>
    <t>Ohio</t>
  </si>
  <si>
    <t>Oklahoma</t>
  </si>
  <si>
    <t>Oregon</t>
  </si>
  <si>
    <t>Pennsylvania</t>
  </si>
  <si>
    <t>Puerto Rico and Virgin Islands</t>
  </si>
  <si>
    <t>2 (St. Croix)</t>
  </si>
  <si>
    <t>Samoa</t>
  </si>
  <si>
    <t>South Carolina</t>
  </si>
  <si>
    <t>South Dakota</t>
  </si>
  <si>
    <t>Tennessee</t>
  </si>
  <si>
    <t>Texas</t>
  </si>
  <si>
    <t>North central</t>
  </si>
  <si>
    <t>Utah</t>
  </si>
  <si>
    <t>Virginia</t>
  </si>
  <si>
    <t>Washington</t>
  </si>
  <si>
    <t>West Virginia</t>
  </si>
  <si>
    <t>Wisconsin</t>
  </si>
  <si>
    <t>South central</t>
  </si>
  <si>
    <t>Constants</t>
  </si>
  <si>
    <t>a</t>
  </si>
  <si>
    <r>
      <t>e</t>
    </r>
    <r>
      <rPr>
        <vertAlign val="superscript"/>
        <sz val="9"/>
        <rFont val="Geneva"/>
        <family val="0"/>
      </rPr>
      <t>2</t>
    </r>
  </si>
  <si>
    <t>e</t>
  </si>
  <si>
    <t>m1</t>
  </si>
  <si>
    <t>m2</t>
  </si>
  <si>
    <t>t1</t>
  </si>
  <si>
    <t>t2</t>
  </si>
  <si>
    <t>n</t>
  </si>
  <si>
    <t>t0</t>
  </si>
  <si>
    <t>F</t>
  </si>
  <si>
    <t>False North</t>
  </si>
  <si>
    <t>False East</t>
  </si>
  <si>
    <t>Michigan</t>
  </si>
  <si>
    <t>fo</t>
  </si>
  <si>
    <t>t(fo)</t>
  </si>
  <si>
    <t>Ro</t>
  </si>
  <si>
    <t>(m)  a   (ft)</t>
  </si>
  <si>
    <t>ft.</t>
  </si>
  <si>
    <t>Ro (m)</t>
  </si>
  <si>
    <t xml:space="preserve">   Using the GRS80 (WGS-84) Ellipsoid, NAD83 Datum and meters</t>
  </si>
  <si>
    <t xml:space="preserve">    Using the Clarke 1866 Ellipsoid, NAD27 Datum, and US Survey Feet</t>
  </si>
  <si>
    <r>
      <t>r</t>
    </r>
    <r>
      <rPr>
        <b/>
        <vertAlign val="subscript"/>
        <sz val="10"/>
        <rFont val="Verdana"/>
        <family val="0"/>
      </rPr>
      <t>0</t>
    </r>
  </si>
  <si>
    <r>
      <t>N</t>
    </r>
    <r>
      <rPr>
        <b/>
        <vertAlign val="subscript"/>
        <sz val="10"/>
        <rFont val="Verdana"/>
        <family val="0"/>
      </rPr>
      <t>o</t>
    </r>
  </si>
  <si>
    <r>
      <t>Y</t>
    </r>
    <r>
      <rPr>
        <b/>
        <vertAlign val="subscript"/>
        <sz val="10"/>
        <rFont val="Verdana"/>
        <family val="0"/>
      </rPr>
      <t>o</t>
    </r>
  </si>
  <si>
    <t>Central meridian</t>
  </si>
  <si>
    <t>Latitude Origin</t>
  </si>
  <si>
    <t>Scale Reduction</t>
  </si>
  <si>
    <r>
      <t>l</t>
    </r>
    <r>
      <rPr>
        <vertAlign val="subscript"/>
        <sz val="10"/>
        <rFont val="Verdana"/>
        <family val="0"/>
      </rPr>
      <t>o</t>
    </r>
  </si>
  <si>
    <t>Central Scale</t>
  </si>
  <si>
    <r>
      <t>k</t>
    </r>
    <r>
      <rPr>
        <vertAlign val="subscript"/>
        <sz val="10"/>
        <rFont val="Verdana"/>
        <family val="0"/>
      </rPr>
      <t>0</t>
    </r>
  </si>
  <si>
    <t>Alabama</t>
  </si>
  <si>
    <t>East</t>
  </si>
  <si>
    <t>Arizona</t>
  </si>
  <si>
    <t>Delaware</t>
  </si>
  <si>
    <t xml:space="preserve">1 : </t>
  </si>
  <si>
    <t>ft</t>
  </si>
  <si>
    <t>Georgia</t>
  </si>
  <si>
    <t>Hawaii</t>
  </si>
  <si>
    <t>Idaho</t>
  </si>
  <si>
    <t>Illinois</t>
  </si>
  <si>
    <t>Indiana</t>
  </si>
  <si>
    <t>Maine</t>
  </si>
  <si>
    <t>Mississippi</t>
  </si>
  <si>
    <t>Missouri</t>
  </si>
  <si>
    <t>Nevada</t>
  </si>
  <si>
    <r>
      <t>Michigan</t>
    </r>
    <r>
      <rPr>
        <sz val="10"/>
        <rFont val="Verdana"/>
        <family val="0"/>
      </rPr>
      <t xml:space="preserve"> (old)</t>
    </r>
  </si>
  <si>
    <t>New Hampshire</t>
  </si>
  <si>
    <t>New Jersey</t>
  </si>
  <si>
    <t>New Mexico</t>
  </si>
  <si>
    <t>Rhode Island</t>
  </si>
  <si>
    <t>Vermont</t>
  </si>
  <si>
    <t>Wyoming</t>
  </si>
  <si>
    <t>East Central</t>
  </si>
  <si>
    <t>West Central</t>
  </si>
  <si>
    <t>m</t>
  </si>
  <si>
    <r>
      <t>n</t>
    </r>
    <r>
      <rPr>
        <b/>
        <sz val="10"/>
        <rFont val="Verdana"/>
        <family val="0"/>
      </rPr>
      <t>o</t>
    </r>
  </si>
  <si>
    <r>
      <t>r</t>
    </r>
    <r>
      <rPr>
        <b/>
        <sz val="10"/>
        <rFont val="Verdana"/>
        <family val="0"/>
      </rPr>
      <t>0</t>
    </r>
  </si>
  <si>
    <t>a2c factor</t>
  </si>
  <si>
    <t>Single</t>
  </si>
  <si>
    <t>rC</t>
  </si>
  <si>
    <t>kC</t>
  </si>
  <si>
    <t>fc</t>
  </si>
  <si>
    <t>tan fc</t>
  </si>
  <si>
    <t>Nc</t>
  </si>
  <si>
    <t>A</t>
  </si>
  <si>
    <t>B</t>
  </si>
  <si>
    <t>rc</t>
  </si>
  <si>
    <t>RC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</si>
</sst>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0E+00"/>
    <numFmt numFmtId="168" formatCode="0\°.\ 00\'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vertAlign val="superscript"/>
      <sz val="9"/>
      <name val="Geneva"/>
      <family val="0"/>
    </font>
    <font>
      <b/>
      <sz val="11"/>
      <name val="Geneva"/>
      <family val="0"/>
    </font>
    <font>
      <b/>
      <vertAlign val="subscript"/>
      <sz val="10"/>
      <name val="Verdana"/>
      <family val="0"/>
    </font>
    <font>
      <sz val="10"/>
      <name val="Symbol"/>
      <family val="0"/>
    </font>
    <font>
      <vertAlign val="subscript"/>
      <sz val="10"/>
      <name val="Verdana"/>
      <family val="0"/>
    </font>
    <font>
      <b/>
      <sz val="10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2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264"/>
  <sheetViews>
    <sheetView workbookViewId="0" topLeftCell="A1">
      <selection activeCell="A1" sqref="A1:T149"/>
    </sheetView>
  </sheetViews>
  <sheetFormatPr defaultColWidth="11.00390625" defaultRowHeight="12.75"/>
  <cols>
    <col min="1" max="1" width="13.125" style="0" customWidth="1"/>
    <col min="2" max="7" width="10.75390625" style="2" customWidth="1"/>
    <col min="8" max="11" width="0" style="0" hidden="1" customWidth="1"/>
    <col min="12" max="12" width="11.25390625" style="0" bestFit="1" customWidth="1"/>
    <col min="13" max="13" width="0" style="0" hidden="1" customWidth="1"/>
    <col min="14" max="14" width="11.25390625" style="0" bestFit="1" customWidth="1"/>
    <col min="15" max="15" width="12.25390625" style="0" bestFit="1" customWidth="1"/>
    <col min="16" max="17" width="0" style="0" hidden="1" customWidth="1"/>
    <col min="18" max="18" width="12.875" style="0" hidden="1" customWidth="1"/>
    <col min="19" max="19" width="11.75390625" style="0" customWidth="1"/>
    <col min="20" max="20" width="14.375" style="0" customWidth="1"/>
  </cols>
  <sheetData>
    <row r="1" spans="6:9" ht="12.75">
      <c r="F1" s="4" t="s">
        <v>57</v>
      </c>
      <c r="G1"/>
      <c r="I1" s="4" t="s">
        <v>57</v>
      </c>
    </row>
    <row r="2" spans="6:12" ht="12.75">
      <c r="F2">
        <v>6378206.4</v>
      </c>
      <c r="G2" t="s">
        <v>74</v>
      </c>
      <c r="H2">
        <f>F2*K2</f>
        <v>20925832.164</v>
      </c>
      <c r="I2">
        <v>6378206.4</v>
      </c>
      <c r="J2" t="s">
        <v>58</v>
      </c>
      <c r="K2">
        <f>3937/1200</f>
        <v>3.2808333333333333</v>
      </c>
      <c r="L2">
        <f>H2</f>
        <v>20925832.164</v>
      </c>
    </row>
    <row r="3" spans="6:10" ht="15">
      <c r="F3">
        <v>0.00676866</v>
      </c>
      <c r="G3" t="s">
        <v>59</v>
      </c>
      <c r="I3">
        <v>0.00676866</v>
      </c>
      <c r="J3" t="s">
        <v>59</v>
      </c>
    </row>
    <row r="4" spans="6:10" ht="12.75">
      <c r="F4">
        <v>0.0822719</v>
      </c>
      <c r="G4" t="s">
        <v>60</v>
      </c>
      <c r="I4">
        <v>0.0822719</v>
      </c>
      <c r="J4" t="s">
        <v>60</v>
      </c>
    </row>
    <row r="5" ht="15">
      <c r="A5" s="5" t="s">
        <v>78</v>
      </c>
    </row>
    <row r="8" spans="4:5" ht="12.75">
      <c r="D8" s="27" t="s">
        <v>14</v>
      </c>
      <c r="E8" s="28"/>
    </row>
    <row r="9" spans="2:19" ht="15">
      <c r="B9" s="27" t="s">
        <v>5</v>
      </c>
      <c r="C9" s="28"/>
      <c r="D9" s="21" t="s">
        <v>15</v>
      </c>
      <c r="E9" s="21" t="s">
        <v>16</v>
      </c>
      <c r="F9" s="6" t="s">
        <v>69</v>
      </c>
      <c r="G9" s="6" t="s">
        <v>68</v>
      </c>
      <c r="H9" s="6" t="s">
        <v>61</v>
      </c>
      <c r="I9" s="6" t="s">
        <v>62</v>
      </c>
      <c r="J9" s="6" t="s">
        <v>63</v>
      </c>
      <c r="K9" s="6" t="s">
        <v>64</v>
      </c>
      <c r="L9" s="6" t="s">
        <v>65</v>
      </c>
      <c r="M9" s="6" t="s">
        <v>66</v>
      </c>
      <c r="N9" s="8" t="s">
        <v>67</v>
      </c>
      <c r="O9" s="8" t="s">
        <v>79</v>
      </c>
      <c r="P9" s="8" t="s">
        <v>71</v>
      </c>
      <c r="Q9" s="8" t="s">
        <v>72</v>
      </c>
      <c r="R9" s="8" t="s">
        <v>76</v>
      </c>
      <c r="S9" s="8" t="s">
        <v>81</v>
      </c>
    </row>
    <row r="10" spans="2:19" ht="12.75">
      <c r="B10" s="20" t="s">
        <v>4</v>
      </c>
      <c r="C10" s="20" t="s">
        <v>3</v>
      </c>
      <c r="D10" s="20" t="s">
        <v>17</v>
      </c>
      <c r="E10" s="20" t="s">
        <v>3</v>
      </c>
      <c r="F10" s="7" t="s">
        <v>75</v>
      </c>
      <c r="G10" s="7" t="s">
        <v>75</v>
      </c>
      <c r="H10" s="6"/>
      <c r="I10" s="6"/>
      <c r="J10" s="6"/>
      <c r="K10" s="6"/>
      <c r="L10" s="6"/>
      <c r="M10" s="6"/>
      <c r="N10" s="8"/>
      <c r="O10" s="23" t="s">
        <v>75</v>
      </c>
      <c r="P10" s="23"/>
      <c r="Q10" s="23"/>
      <c r="R10" s="23"/>
      <c r="S10" s="23" t="s">
        <v>75</v>
      </c>
    </row>
    <row r="11" spans="1:20" ht="12.75">
      <c r="A11" s="1" t="s">
        <v>0</v>
      </c>
      <c r="H11" s="4"/>
      <c r="I11" s="4"/>
      <c r="J11" s="4"/>
      <c r="K11" s="4"/>
      <c r="L11" s="4"/>
      <c r="M11" s="4"/>
      <c r="N11" s="4"/>
      <c r="O11" s="4"/>
      <c r="P11" s="4"/>
      <c r="T11" s="1" t="s">
        <v>0</v>
      </c>
    </row>
    <row r="12" spans="1:20" ht="12.75">
      <c r="A12" t="s">
        <v>1</v>
      </c>
      <c r="B12" s="2">
        <v>51.5</v>
      </c>
      <c r="C12" s="2">
        <v>53.5</v>
      </c>
      <c r="D12" s="2">
        <v>176</v>
      </c>
      <c r="E12" s="2">
        <v>51</v>
      </c>
      <c r="F12" s="2">
        <v>3000000</v>
      </c>
      <c r="G12" s="2">
        <v>0</v>
      </c>
      <c r="H12">
        <f>COS(torad(B12))/(SQRT(1-$I$3*SIN(torad(B12))^2))</f>
        <v>0.6192479084057334</v>
      </c>
      <c r="I12">
        <f>COS(torad(C12))/(SQRT(1-$I$3*SIN(torad(C12))^2))</f>
        <v>0.5914420836042756</v>
      </c>
      <c r="J12">
        <f>TAN(PI()/4-torad(B12)/2)/POWER(((1-$I$4*SIN(torad(B12)))/(1+$I$4*SIN(torad(B12)))),$I$4/2)</f>
        <v>0.34780385509012474</v>
      </c>
      <c r="K12">
        <f>TAN(PI()/4-torad(C12)/2)/POWER(((1-$I$4*SIN(torad(C12)))/(1+$I$4*SIN(torad(C12)))),$I$4/2)</f>
        <v>0.32832024906153195</v>
      </c>
      <c r="L12" s="9">
        <f>(LN(I12)-LN(H12))/(LN(K12)-LN(J12))</f>
        <v>0.7969223955381555</v>
      </c>
      <c r="M12" s="9">
        <f>TAN(PI()/4-torad(E12)/2)/POWER(((1-$I$4*SIN(torad(E12)))/(1+$I$4*SIN(torad(E12)))),$I$4/2)</f>
        <v>0.3559887874121069</v>
      </c>
      <c r="N12" s="9">
        <f>H12/(L12*POWER(J12,L12))</f>
        <v>1.8028907566071275</v>
      </c>
      <c r="O12" s="2">
        <f>$I$2*N12*POWER(M12,L12)</f>
        <v>5048908.940428975</v>
      </c>
      <c r="P12" s="2">
        <f>DEGREES(ASIN(L12))</f>
        <v>52.83720966546415</v>
      </c>
      <c r="Q12" s="2">
        <f>TAN(PI()/4-RADIANS(P12)/2)/POWER(((1-$I$4*SIN(RADIANS(P12)))/(1+$I$4*SIN(RADIANS(P12)))),$I$4/2)</f>
        <v>0.33799661348072035</v>
      </c>
      <c r="R12" s="2">
        <f>$I$2*N12*Q12^L12</f>
        <v>4844485.738114003</v>
      </c>
      <c r="S12" s="2">
        <f>$K$2*(O12-R12)+G12</f>
        <v>670678.4562617037</v>
      </c>
      <c r="T12" t="s">
        <v>1</v>
      </c>
    </row>
    <row r="13" spans="12:19" ht="12.75">
      <c r="L13" s="9"/>
      <c r="M13" s="9"/>
      <c r="N13" s="9"/>
      <c r="O13" s="2"/>
      <c r="P13" s="2"/>
      <c r="Q13" s="2"/>
      <c r="R13" s="2"/>
      <c r="S13" s="2"/>
    </row>
    <row r="14" spans="1:20" ht="12.75">
      <c r="A14" s="1" t="s">
        <v>2</v>
      </c>
      <c r="L14" s="9"/>
      <c r="M14" s="9"/>
      <c r="N14" s="9"/>
      <c r="O14" s="2"/>
      <c r="P14" s="2"/>
      <c r="Q14" s="2"/>
      <c r="R14" s="2"/>
      <c r="S14" s="2"/>
      <c r="T14" s="1" t="s">
        <v>2</v>
      </c>
    </row>
    <row r="15" spans="1:20" ht="12.75">
      <c r="A15" t="s">
        <v>3</v>
      </c>
      <c r="B15" s="2">
        <v>34.56</v>
      </c>
      <c r="C15" s="2">
        <v>36.14</v>
      </c>
      <c r="D15" s="2">
        <v>92</v>
      </c>
      <c r="E15" s="2">
        <v>34.2</v>
      </c>
      <c r="F15" s="2">
        <v>2000000</v>
      </c>
      <c r="G15" s="2">
        <v>0</v>
      </c>
      <c r="H15">
        <f aca="true" t="shared" si="0" ref="H15:H76">COS(torad(B15))/(SQRT(1-$I$3*SIN(torad(B15))^2))</f>
        <v>0.820730155876423</v>
      </c>
      <c r="I15">
        <f aca="true" t="shared" si="1" ref="I15:I76">COS(torad(C15))/(SQRT(1-$I$3*SIN(torad(C15))^2))</f>
        <v>0.8075719992073903</v>
      </c>
      <c r="J15">
        <f aca="true" t="shared" si="2" ref="J15:J76">TAN(PI()/4-torad(B15)/2)/POWER(((1-$I$4*SIN(torad(B15)))/(1+$I$4*SIN(torad(B15)))),$I$4/2)</f>
        <v>0.5233326590670028</v>
      </c>
      <c r="K15">
        <f aca="true" t="shared" si="3" ref="K15:K76">TAN(PI()/4-torad(C15)/2)/POWER(((1-$I$4*SIN(torad(C15)))/(1+$I$4*SIN(torad(C15)))),$I$4/2)</f>
        <v>0.5089971750955488</v>
      </c>
      <c r="L15" s="9">
        <f aca="true" t="shared" si="4" ref="L15:L76">(LN(I15)-LN(H15))/(LN(K15)-LN(J15))</f>
        <v>0.5818991326525744</v>
      </c>
      <c r="M15" s="9">
        <f aca="true" t="shared" si="5" ref="M15:M76">TAN(PI()/4-torad(E15)/2)/POWER(((1-$I$4*SIN(torad(E15)))/(1+$I$4*SIN(torad(E15)))),$I$4/2)</f>
        <v>0.5300048396905708</v>
      </c>
      <c r="N15" s="9">
        <f aca="true" t="shared" si="6" ref="N15:N76">H15/(L15*POWER(J15,L15))</f>
        <v>2.0558698290905344</v>
      </c>
      <c r="O15" s="2">
        <f aca="true" t="shared" si="7" ref="O15:O76">$I$2*N15*POWER(M15,L15)</f>
        <v>9062600.952525783</v>
      </c>
      <c r="P15" s="2">
        <f aca="true" t="shared" si="8" ref="P15:P76">DEGREES(ASIN(L15))</f>
        <v>35.584228669403934</v>
      </c>
      <c r="Q15" s="2">
        <f aca="true" t="shared" si="9" ref="Q15:Q76">TAN(PI()/4-RADIANS(P15)/2)/POWER(((1-$I$4*SIN(RADIANS(P15)))/(1+$I$4*SIN(RADIANS(P15)))),$I$4/2)</f>
        <v>0.5161346266136518</v>
      </c>
      <c r="R15" s="2">
        <f aca="true" t="shared" si="10" ref="R15:R76">$I$2*N15*Q15^L15</f>
        <v>8923828.568720484</v>
      </c>
      <c r="S15" s="2">
        <f aca="true" t="shared" si="11" ref="S15:S76">$K$2*(O15-R15)+G15</f>
        <v>455289.06253455236</v>
      </c>
      <c r="T15" t="s">
        <v>3</v>
      </c>
    </row>
    <row r="16" spans="1:20" ht="12.75">
      <c r="A16" t="s">
        <v>4</v>
      </c>
      <c r="B16" s="2">
        <v>33.18</v>
      </c>
      <c r="C16" s="2">
        <v>34.46</v>
      </c>
      <c r="D16" s="2">
        <v>92</v>
      </c>
      <c r="E16" s="2">
        <v>32.4</v>
      </c>
      <c r="F16" s="2">
        <v>2000000</v>
      </c>
      <c r="G16" s="2">
        <v>0</v>
      </c>
      <c r="H16">
        <f t="shared" si="0"/>
        <v>0.8366612964555443</v>
      </c>
      <c r="I16">
        <f t="shared" si="1"/>
        <v>0.8223866151951814</v>
      </c>
      <c r="J16">
        <f t="shared" si="2"/>
        <v>0.5415809501205581</v>
      </c>
      <c r="K16">
        <f t="shared" si="3"/>
        <v>0.525182454017678</v>
      </c>
      <c r="L16" s="9">
        <f t="shared" si="4"/>
        <v>0.5596906921081505</v>
      </c>
      <c r="M16" s="9">
        <f t="shared" si="5"/>
        <v>0.548730475739624</v>
      </c>
      <c r="N16" s="9">
        <f t="shared" si="6"/>
        <v>2.1070154590508547</v>
      </c>
      <c r="O16" s="2">
        <f t="shared" si="7"/>
        <v>9604792.671594333</v>
      </c>
      <c r="P16" s="2">
        <f t="shared" si="8"/>
        <v>34.034409740397415</v>
      </c>
      <c r="Q16" s="2">
        <f t="shared" si="9"/>
        <v>0.5333424120725361</v>
      </c>
      <c r="R16" s="2">
        <f t="shared" si="10"/>
        <v>9453097.94612774</v>
      </c>
      <c r="S16" s="2">
        <f t="shared" si="11"/>
        <v>497685.11180164467</v>
      </c>
      <c r="T16" t="s">
        <v>4</v>
      </c>
    </row>
    <row r="17" spans="12:19" ht="12.75">
      <c r="L17" s="9"/>
      <c r="M17" s="9"/>
      <c r="N17" s="9"/>
      <c r="O17" s="2"/>
      <c r="P17" s="2"/>
      <c r="Q17" s="2"/>
      <c r="R17" s="2"/>
      <c r="S17" s="2"/>
    </row>
    <row r="18" spans="1:20" ht="12.75">
      <c r="A18" s="1" t="s">
        <v>6</v>
      </c>
      <c r="L18" s="9"/>
      <c r="M18" s="9"/>
      <c r="N18" s="9"/>
      <c r="O18" s="2"/>
      <c r="P18" s="2"/>
      <c r="Q18" s="2"/>
      <c r="R18" s="2"/>
      <c r="S18" s="2"/>
      <c r="T18" s="1" t="s">
        <v>6</v>
      </c>
    </row>
    <row r="19" spans="1:20" ht="12.75">
      <c r="A19" t="s">
        <v>7</v>
      </c>
      <c r="B19" s="2">
        <v>40</v>
      </c>
      <c r="C19" s="2">
        <v>41.4</v>
      </c>
      <c r="D19" s="2">
        <v>122</v>
      </c>
      <c r="E19" s="2">
        <v>39.2</v>
      </c>
      <c r="F19" s="2">
        <v>2000000</v>
      </c>
      <c r="G19" s="2">
        <v>0</v>
      </c>
      <c r="H19">
        <f t="shared" si="0"/>
        <v>0.767117873194491</v>
      </c>
      <c r="I19">
        <f t="shared" si="1"/>
        <v>0.7481449221612155</v>
      </c>
      <c r="J19">
        <f t="shared" si="2"/>
        <v>0.46834279885298746</v>
      </c>
      <c r="K19">
        <f t="shared" si="3"/>
        <v>0.45074443247813</v>
      </c>
      <c r="L19" s="9">
        <f t="shared" si="4"/>
        <v>0.653884311435387</v>
      </c>
      <c r="M19" s="9">
        <f t="shared" si="5"/>
        <v>0.4754470335121552</v>
      </c>
      <c r="N19" s="9">
        <f t="shared" si="6"/>
        <v>1.9265235228394997</v>
      </c>
      <c r="O19" s="2">
        <f t="shared" si="7"/>
        <v>7556749.771796041</v>
      </c>
      <c r="P19" s="2">
        <f t="shared" si="8"/>
        <v>40.83510658196995</v>
      </c>
      <c r="Q19" s="2">
        <f t="shared" si="9"/>
        <v>0.45949637630634677</v>
      </c>
      <c r="R19" s="2">
        <f t="shared" si="10"/>
        <v>7390000.071201185</v>
      </c>
      <c r="S19" s="2">
        <f t="shared" si="11"/>
        <v>547077.976034958</v>
      </c>
      <c r="T19" t="s">
        <v>7</v>
      </c>
    </row>
    <row r="20" spans="1:20" ht="12.75">
      <c r="A20" t="s">
        <v>8</v>
      </c>
      <c r="B20" s="2">
        <v>38.2</v>
      </c>
      <c r="C20" s="2">
        <v>39.5</v>
      </c>
      <c r="D20" s="2">
        <v>122</v>
      </c>
      <c r="E20" s="2">
        <v>37.4</v>
      </c>
      <c r="F20" s="2">
        <v>2000000</v>
      </c>
      <c r="G20" s="2">
        <v>0</v>
      </c>
      <c r="H20">
        <f t="shared" si="0"/>
        <v>0.7854389139246872</v>
      </c>
      <c r="I20">
        <f t="shared" si="1"/>
        <v>0.7689795661778211</v>
      </c>
      <c r="J20">
        <f t="shared" si="2"/>
        <v>0.48617535769816667</v>
      </c>
      <c r="K20">
        <f t="shared" si="3"/>
        <v>0.47011531468756984</v>
      </c>
      <c r="L20" s="9">
        <f t="shared" si="4"/>
        <v>0.6304683406479039</v>
      </c>
      <c r="M20" s="9">
        <f t="shared" si="5"/>
        <v>0.49337672923497017</v>
      </c>
      <c r="N20" s="9">
        <f t="shared" si="6"/>
        <v>1.962981763887836</v>
      </c>
      <c r="O20" s="2">
        <f t="shared" si="7"/>
        <v>8019987.546145423</v>
      </c>
      <c r="P20" s="2">
        <f t="shared" si="8"/>
        <v>39.084684317702795</v>
      </c>
      <c r="Q20" s="2">
        <f t="shared" si="9"/>
        <v>0.4781064764473622</v>
      </c>
      <c r="R20" s="2">
        <f t="shared" si="10"/>
        <v>7862583.256286254</v>
      </c>
      <c r="S20" s="2">
        <f t="shared" si="11"/>
        <v>516417.24097962416</v>
      </c>
      <c r="T20" t="s">
        <v>8</v>
      </c>
    </row>
    <row r="21" spans="1:20" ht="12.75">
      <c r="A21" t="s">
        <v>9</v>
      </c>
      <c r="B21" s="2">
        <v>37.04</v>
      </c>
      <c r="C21" s="2">
        <v>38.26</v>
      </c>
      <c r="D21" s="2">
        <v>120.3</v>
      </c>
      <c r="E21" s="2">
        <v>36.3</v>
      </c>
      <c r="F21" s="2">
        <v>2000000</v>
      </c>
      <c r="G21" s="2">
        <v>0</v>
      </c>
      <c r="H21">
        <f t="shared" si="0"/>
        <v>0.7989176219562614</v>
      </c>
      <c r="I21">
        <f t="shared" si="1"/>
        <v>0.7843583127088453</v>
      </c>
      <c r="J21">
        <f t="shared" si="2"/>
        <v>0.4998923816455575</v>
      </c>
      <c r="K21">
        <f t="shared" si="3"/>
        <v>0.4850985752666432</v>
      </c>
      <c r="L21" s="9">
        <f t="shared" si="4"/>
        <v>0.612232043141781</v>
      </c>
      <c r="M21" s="9">
        <f t="shared" si="5"/>
        <v>0.5060765638620923</v>
      </c>
      <c r="N21" s="9">
        <f t="shared" si="6"/>
        <v>1.9950022465943578</v>
      </c>
      <c r="O21" s="2">
        <f t="shared" si="7"/>
        <v>8385976.744031879</v>
      </c>
      <c r="P21" s="2">
        <f t="shared" si="8"/>
        <v>37.75106978754377</v>
      </c>
      <c r="Q21" s="2">
        <f t="shared" si="9"/>
        <v>0.4924627919753432</v>
      </c>
      <c r="R21" s="2">
        <f t="shared" si="10"/>
        <v>8247135.124555773</v>
      </c>
      <c r="S21" s="2">
        <f t="shared" si="11"/>
        <v>455516.21323119116</v>
      </c>
      <c r="T21" t="s">
        <v>9</v>
      </c>
    </row>
    <row r="22" spans="1:20" ht="12.75">
      <c r="A22" t="s">
        <v>10</v>
      </c>
      <c r="B22" s="2">
        <v>36</v>
      </c>
      <c r="C22" s="2">
        <v>37.15</v>
      </c>
      <c r="D22" s="2">
        <v>119</v>
      </c>
      <c r="E22" s="2">
        <v>35.2</v>
      </c>
      <c r="F22" s="2">
        <v>2000000</v>
      </c>
      <c r="G22" s="2">
        <v>0</v>
      </c>
      <c r="H22">
        <f t="shared" si="0"/>
        <v>0.8099646056924197</v>
      </c>
      <c r="I22">
        <f t="shared" si="1"/>
        <v>0.7969908476243407</v>
      </c>
      <c r="J22">
        <f t="shared" si="2"/>
        <v>0.5115582342012217</v>
      </c>
      <c r="K22">
        <f t="shared" si="3"/>
        <v>0.4978979896658351</v>
      </c>
      <c r="L22" s="9">
        <f t="shared" si="4"/>
        <v>0.5965871543013948</v>
      </c>
      <c r="M22" s="9">
        <f t="shared" si="5"/>
        <v>0.5189042990475213</v>
      </c>
      <c r="N22" s="9">
        <f t="shared" si="6"/>
        <v>2.0251705319917197</v>
      </c>
      <c r="O22" s="2">
        <f t="shared" si="7"/>
        <v>8733430.98916426</v>
      </c>
      <c r="P22" s="2">
        <f t="shared" si="8"/>
        <v>36.62585962272997</v>
      </c>
      <c r="Q22" s="2">
        <f t="shared" si="9"/>
        <v>0.5047004368031397</v>
      </c>
      <c r="R22" s="2">
        <f t="shared" si="10"/>
        <v>8590014.105343362</v>
      </c>
      <c r="S22" s="2">
        <f t="shared" si="11"/>
        <v>470526.8930023928</v>
      </c>
      <c r="T22" t="s">
        <v>10</v>
      </c>
    </row>
    <row r="23" spans="1:20" ht="12.75">
      <c r="A23" t="s">
        <v>11</v>
      </c>
      <c r="B23" s="2">
        <v>34.02</v>
      </c>
      <c r="C23" s="2">
        <v>35.28</v>
      </c>
      <c r="D23" s="2">
        <v>118</v>
      </c>
      <c r="E23" s="2">
        <v>33.3</v>
      </c>
      <c r="F23" s="2">
        <v>2000000</v>
      </c>
      <c r="G23" s="2">
        <v>0</v>
      </c>
      <c r="H23">
        <f t="shared" si="0"/>
        <v>0.8295920198718235</v>
      </c>
      <c r="I23">
        <f t="shared" si="1"/>
        <v>0.8153827876395074</v>
      </c>
      <c r="J23">
        <f t="shared" si="2"/>
        <v>0.5333544467971523</v>
      </c>
      <c r="K23">
        <f t="shared" si="3"/>
        <v>0.5174316514275131</v>
      </c>
      <c r="L23" s="9">
        <f t="shared" si="4"/>
        <v>0.5700119013167496</v>
      </c>
      <c r="M23" s="9">
        <f t="shared" si="5"/>
        <v>0.5393318820596398</v>
      </c>
      <c r="N23" s="9">
        <f t="shared" si="6"/>
        <v>2.082499072352709</v>
      </c>
      <c r="O23" s="2">
        <f t="shared" si="7"/>
        <v>9341963.537887374</v>
      </c>
      <c r="P23" s="2">
        <f t="shared" si="8"/>
        <v>34.751055672810594</v>
      </c>
      <c r="Q23" s="2">
        <f t="shared" si="9"/>
        <v>0.5253558576287898</v>
      </c>
      <c r="R23" s="2">
        <f t="shared" si="10"/>
        <v>9203194.460637813</v>
      </c>
      <c r="S23" s="2">
        <f t="shared" si="11"/>
        <v>455278.2142762664</v>
      </c>
      <c r="T23" t="s">
        <v>11</v>
      </c>
    </row>
    <row r="24" spans="1:20" ht="12.75">
      <c r="A24" t="s">
        <v>12</v>
      </c>
      <c r="B24" s="2">
        <v>32.47</v>
      </c>
      <c r="C24" s="2">
        <v>33.53</v>
      </c>
      <c r="D24" s="2">
        <v>116.15</v>
      </c>
      <c r="E24" s="2">
        <v>32.1</v>
      </c>
      <c r="F24" s="2">
        <v>2000000</v>
      </c>
      <c r="G24" s="2">
        <v>0</v>
      </c>
      <c r="H24">
        <f t="shared" si="0"/>
        <v>0.841559577884302</v>
      </c>
      <c r="I24">
        <f t="shared" si="1"/>
        <v>0.8310491195257413</v>
      </c>
      <c r="J24">
        <f t="shared" si="2"/>
        <v>0.5474102967144571</v>
      </c>
      <c r="K24">
        <f t="shared" si="3"/>
        <v>0.5350326659753516</v>
      </c>
      <c r="L24" s="9">
        <f t="shared" si="4"/>
        <v>0.5495175796615929</v>
      </c>
      <c r="M24" s="9">
        <f t="shared" si="5"/>
        <v>0.554404743763008</v>
      </c>
      <c r="N24" s="9">
        <f t="shared" si="6"/>
        <v>2.1325778997672096</v>
      </c>
      <c r="O24" s="2">
        <f t="shared" si="7"/>
        <v>9836302.402953088</v>
      </c>
      <c r="P24" s="2">
        <f t="shared" si="8"/>
        <v>33.33392321209762</v>
      </c>
      <c r="Q24" s="2">
        <f t="shared" si="9"/>
        <v>0.5411991807464739</v>
      </c>
      <c r="R24" s="2">
        <f t="shared" si="10"/>
        <v>9706854.703078693</v>
      </c>
      <c r="S24" s="2">
        <f t="shared" si="11"/>
        <v>424696.3286712459</v>
      </c>
      <c r="T24" t="s">
        <v>12</v>
      </c>
    </row>
    <row r="25" spans="1:20" ht="12.75">
      <c r="A25" t="s">
        <v>13</v>
      </c>
      <c r="B25" s="2">
        <v>33.52</v>
      </c>
      <c r="C25" s="2">
        <v>34.25</v>
      </c>
      <c r="D25" s="2">
        <v>118.2</v>
      </c>
      <c r="E25" s="2">
        <v>34.08</v>
      </c>
      <c r="F25" s="2">
        <v>4186692.58</v>
      </c>
      <c r="G25" s="2">
        <v>4160926.74</v>
      </c>
      <c r="H25">
        <f t="shared" si="0"/>
        <v>0.8312106674934688</v>
      </c>
      <c r="I25">
        <f t="shared" si="1"/>
        <v>0.8258424676152809</v>
      </c>
      <c r="J25">
        <f t="shared" si="2"/>
        <v>0.5352192760049983</v>
      </c>
      <c r="K25">
        <f t="shared" si="3"/>
        <v>0.5290760009313124</v>
      </c>
      <c r="L25" s="9">
        <f t="shared" si="4"/>
        <v>0.5612432258093418</v>
      </c>
      <c r="M25" s="9">
        <f t="shared" si="5"/>
        <v>0.5322369016425393</v>
      </c>
      <c r="N25" s="9">
        <f t="shared" si="6"/>
        <v>2.1033895624800616</v>
      </c>
      <c r="O25" s="2">
        <f t="shared" si="7"/>
        <v>9416652.849877419</v>
      </c>
      <c r="P25" s="2">
        <f t="shared" si="8"/>
        <v>34.1418187635883</v>
      </c>
      <c r="Q25" s="2">
        <f t="shared" si="9"/>
        <v>0.532142119682424</v>
      </c>
      <c r="R25" s="2">
        <f t="shared" si="10"/>
        <v>9415711.642454257</v>
      </c>
      <c r="S25" s="2">
        <f t="shared" si="11"/>
        <v>4164014.68468749</v>
      </c>
      <c r="T25" t="s">
        <v>13</v>
      </c>
    </row>
    <row r="26" spans="12:19" ht="12.75">
      <c r="L26" s="9"/>
      <c r="M26" s="9"/>
      <c r="N26" s="9"/>
      <c r="O26" s="2"/>
      <c r="P26" s="2"/>
      <c r="Q26" s="2"/>
      <c r="R26" s="2"/>
      <c r="S26" s="2"/>
    </row>
    <row r="27" spans="1:20" ht="12.75">
      <c r="A27" s="1" t="s">
        <v>18</v>
      </c>
      <c r="L27" s="9"/>
      <c r="M27" s="9"/>
      <c r="N27" s="9"/>
      <c r="O27" s="2"/>
      <c r="P27" s="2"/>
      <c r="Q27" s="2"/>
      <c r="R27" s="2"/>
      <c r="S27" s="2"/>
      <c r="T27" s="1" t="s">
        <v>18</v>
      </c>
    </row>
    <row r="28" spans="1:20" ht="12.75">
      <c r="A28" t="s">
        <v>3</v>
      </c>
      <c r="B28" s="2">
        <v>39.43</v>
      </c>
      <c r="C28" s="2">
        <v>40.47</v>
      </c>
      <c r="D28" s="2">
        <v>105.3</v>
      </c>
      <c r="E28" s="2">
        <v>39.2</v>
      </c>
      <c r="F28" s="2">
        <v>2000000</v>
      </c>
      <c r="G28" s="2">
        <v>0</v>
      </c>
      <c r="H28">
        <f t="shared" si="0"/>
        <v>0.7702788639143826</v>
      </c>
      <c r="I28">
        <f t="shared" si="1"/>
        <v>0.758280841070901</v>
      </c>
      <c r="J28">
        <f t="shared" si="2"/>
        <v>0.4713574754922751</v>
      </c>
      <c r="K28">
        <f t="shared" si="3"/>
        <v>0.46004313820638226</v>
      </c>
      <c r="L28" s="9">
        <f t="shared" si="4"/>
        <v>0.6461334605376456</v>
      </c>
      <c r="M28" s="9">
        <f t="shared" si="5"/>
        <v>0.4754470335121552</v>
      </c>
      <c r="N28" s="9">
        <f t="shared" si="6"/>
        <v>1.938139292607076</v>
      </c>
      <c r="O28" s="2">
        <f t="shared" si="7"/>
        <v>7646249.143617346</v>
      </c>
      <c r="P28" s="2">
        <f t="shared" si="8"/>
        <v>40.25071173348758</v>
      </c>
      <c r="Q28" s="2">
        <f t="shared" si="9"/>
        <v>0.465680862190186</v>
      </c>
      <c r="R28" s="2">
        <f t="shared" si="10"/>
        <v>7544393.953149792</v>
      </c>
      <c r="S28" s="2">
        <f t="shared" si="11"/>
        <v>334169.9040589672</v>
      </c>
      <c r="T28" t="s">
        <v>3</v>
      </c>
    </row>
    <row r="29" spans="1:20" ht="12.75">
      <c r="A29" t="s">
        <v>19</v>
      </c>
      <c r="B29" s="2">
        <v>38.27</v>
      </c>
      <c r="C29" s="2">
        <v>39.45</v>
      </c>
      <c r="D29" s="2">
        <v>105.3</v>
      </c>
      <c r="E29" s="2">
        <v>37.5</v>
      </c>
      <c r="F29" s="2">
        <v>2000000</v>
      </c>
      <c r="G29" s="2">
        <v>0</v>
      </c>
      <c r="H29">
        <f t="shared" si="0"/>
        <v>0.7841779792751948</v>
      </c>
      <c r="I29">
        <f t="shared" si="1"/>
        <v>0.7699079630399837</v>
      </c>
      <c r="J29">
        <f t="shared" si="2"/>
        <v>0.48491919764965646</v>
      </c>
      <c r="K29">
        <f t="shared" si="3"/>
        <v>0.4710024544754742</v>
      </c>
      <c r="L29" s="9">
        <f t="shared" si="4"/>
        <v>0.6306895597799321</v>
      </c>
      <c r="M29" s="9">
        <f t="shared" si="5"/>
        <v>0.4915726422584192</v>
      </c>
      <c r="N29" s="9">
        <f t="shared" si="6"/>
        <v>1.9626553495366905</v>
      </c>
      <c r="O29" s="2">
        <f t="shared" si="7"/>
        <v>7998898.698283829</v>
      </c>
      <c r="P29" s="2">
        <f t="shared" si="8"/>
        <v>39.101015348054695</v>
      </c>
      <c r="Q29" s="2">
        <f t="shared" si="9"/>
        <v>0.4779316426897852</v>
      </c>
      <c r="R29" s="2">
        <f t="shared" si="10"/>
        <v>7858179.763285319</v>
      </c>
      <c r="S29" s="2">
        <f t="shared" si="11"/>
        <v>461675.37257427647</v>
      </c>
      <c r="T29" t="s">
        <v>19</v>
      </c>
    </row>
    <row r="30" spans="1:20" ht="12.75">
      <c r="A30" t="s">
        <v>4</v>
      </c>
      <c r="B30" s="2">
        <v>37.14</v>
      </c>
      <c r="C30" s="2">
        <v>38.26</v>
      </c>
      <c r="D30" s="2">
        <v>105.3</v>
      </c>
      <c r="E30" s="2">
        <v>36.4</v>
      </c>
      <c r="F30" s="2">
        <v>2000000</v>
      </c>
      <c r="G30" s="2">
        <v>0</v>
      </c>
      <c r="H30">
        <f t="shared" si="0"/>
        <v>0.7971663474596432</v>
      </c>
      <c r="I30">
        <f t="shared" si="1"/>
        <v>0.7843583127088453</v>
      </c>
      <c r="J30">
        <f t="shared" si="2"/>
        <v>0.49807917025254994</v>
      </c>
      <c r="K30">
        <f t="shared" si="3"/>
        <v>0.4850985752666432</v>
      </c>
      <c r="L30" s="9">
        <f t="shared" si="4"/>
        <v>0.613378046596437</v>
      </c>
      <c r="M30" s="9">
        <f t="shared" si="5"/>
        <v>0.5042545782894675</v>
      </c>
      <c r="N30" s="9">
        <f t="shared" si="6"/>
        <v>1.9929263849593053</v>
      </c>
      <c r="O30" s="2">
        <f t="shared" si="7"/>
        <v>8352217.0484480215</v>
      </c>
      <c r="P30" s="2">
        <f t="shared" si="8"/>
        <v>37.8341605768057</v>
      </c>
      <c r="Q30" s="2">
        <f t="shared" si="9"/>
        <v>0.4915636940021037</v>
      </c>
      <c r="R30" s="2">
        <f t="shared" si="10"/>
        <v>8222646.9875634</v>
      </c>
      <c r="S30" s="2">
        <f t="shared" si="11"/>
        <v>425097.7747522971</v>
      </c>
      <c r="T30" t="s">
        <v>4</v>
      </c>
    </row>
    <row r="31" spans="12:19" ht="12.75">
      <c r="L31" s="9"/>
      <c r="M31" s="9"/>
      <c r="N31" s="9"/>
      <c r="O31" s="2"/>
      <c r="P31" s="2"/>
      <c r="Q31" s="2"/>
      <c r="R31" s="2"/>
      <c r="S31" s="2"/>
    </row>
    <row r="32" spans="1:20" ht="12.75">
      <c r="A32" s="1" t="s">
        <v>20</v>
      </c>
      <c r="B32" s="2">
        <v>41.12</v>
      </c>
      <c r="C32" s="2">
        <v>41.52</v>
      </c>
      <c r="D32" s="2">
        <v>72.45</v>
      </c>
      <c r="E32" s="2">
        <v>40.5</v>
      </c>
      <c r="F32" s="2">
        <v>600000</v>
      </c>
      <c r="G32" s="2">
        <v>0</v>
      </c>
      <c r="H32">
        <f t="shared" si="0"/>
        <v>0.7535221682765165</v>
      </c>
      <c r="I32">
        <f t="shared" si="1"/>
        <v>0.7458250959324236</v>
      </c>
      <c r="J32">
        <f t="shared" si="2"/>
        <v>0.45564906750036194</v>
      </c>
      <c r="K32">
        <f t="shared" si="3"/>
        <v>0.4486477943401462</v>
      </c>
      <c r="L32" s="9">
        <f t="shared" si="4"/>
        <v>0.663059460235937</v>
      </c>
      <c r="M32" s="9">
        <f t="shared" si="5"/>
        <v>0.45951509941467217</v>
      </c>
      <c r="N32" s="9">
        <f t="shared" si="6"/>
        <v>1.9137792595866636</v>
      </c>
      <c r="O32" s="2">
        <f t="shared" si="7"/>
        <v>7289119.855759509</v>
      </c>
      <c r="P32" s="2">
        <f t="shared" si="8"/>
        <v>41.533624141602736</v>
      </c>
      <c r="Q32" s="2">
        <f t="shared" si="9"/>
        <v>0.4521409137400314</v>
      </c>
      <c r="R32" s="2">
        <f t="shared" si="10"/>
        <v>7211347.92805551</v>
      </c>
      <c r="S32" s="2">
        <f t="shared" si="11"/>
        <v>255156.73280887</v>
      </c>
      <c r="T32" s="1" t="s">
        <v>20</v>
      </c>
    </row>
    <row r="33" spans="12:19" ht="12.75">
      <c r="L33" s="9"/>
      <c r="M33" s="9"/>
      <c r="N33" s="9"/>
      <c r="O33" s="2"/>
      <c r="P33" s="2"/>
      <c r="Q33" s="2"/>
      <c r="R33" s="2"/>
      <c r="S33" s="2"/>
    </row>
    <row r="34" spans="1:20" ht="12.75">
      <c r="A34" s="1" t="s">
        <v>21</v>
      </c>
      <c r="L34" s="9"/>
      <c r="M34" s="9"/>
      <c r="N34" s="9"/>
      <c r="O34" s="2"/>
      <c r="P34" s="2"/>
      <c r="Q34" s="2"/>
      <c r="R34" s="2"/>
      <c r="S34" s="2"/>
      <c r="T34" s="1" t="s">
        <v>21</v>
      </c>
    </row>
    <row r="35" spans="1:20" ht="12.75">
      <c r="A35" t="s">
        <v>3</v>
      </c>
      <c r="B35" s="2">
        <v>29.35</v>
      </c>
      <c r="C35" s="2">
        <v>30.45</v>
      </c>
      <c r="D35" s="2">
        <v>84.3</v>
      </c>
      <c r="E35" s="2">
        <v>29</v>
      </c>
      <c r="F35" s="2">
        <v>2000000</v>
      </c>
      <c r="G35" s="2">
        <v>0</v>
      </c>
      <c r="H35">
        <f t="shared" si="0"/>
        <v>0.8703567921314316</v>
      </c>
      <c r="I35">
        <f t="shared" si="1"/>
        <v>0.860167767814233</v>
      </c>
      <c r="J35">
        <f t="shared" si="2"/>
        <v>0.5841584724712907</v>
      </c>
      <c r="K35">
        <f t="shared" si="3"/>
        <v>0.5706289161760558</v>
      </c>
      <c r="L35" s="9">
        <f t="shared" si="4"/>
        <v>0.5025259067022344</v>
      </c>
      <c r="M35" s="9">
        <f t="shared" si="5"/>
        <v>0.5909821803813279</v>
      </c>
      <c r="N35" s="9">
        <f t="shared" si="6"/>
        <v>2.26915022612982</v>
      </c>
      <c r="O35" s="2">
        <f t="shared" si="7"/>
        <v>11111483.071076717</v>
      </c>
      <c r="P35" s="2">
        <f t="shared" si="8"/>
        <v>30.167253821171425</v>
      </c>
      <c r="Q35" s="2">
        <f t="shared" si="9"/>
        <v>0.5773674747963103</v>
      </c>
      <c r="R35" s="2">
        <f t="shared" si="10"/>
        <v>10982100.809061987</v>
      </c>
      <c r="S35" s="2">
        <f t="shared" si="11"/>
        <v>424481.63795999304</v>
      </c>
      <c r="T35" t="s">
        <v>3</v>
      </c>
    </row>
    <row r="36" spans="12:19" ht="12.75">
      <c r="L36" s="9"/>
      <c r="M36" s="9"/>
      <c r="N36" s="9"/>
      <c r="O36" s="2"/>
      <c r="P36" s="2"/>
      <c r="Q36" s="2"/>
      <c r="R36" s="2"/>
      <c r="S36" s="2"/>
    </row>
    <row r="37" spans="1:20" ht="12.75">
      <c r="A37" s="1" t="s">
        <v>22</v>
      </c>
      <c r="L37" s="9"/>
      <c r="M37" s="9"/>
      <c r="N37" s="9"/>
      <c r="O37" s="2"/>
      <c r="P37" s="2"/>
      <c r="Q37" s="2"/>
      <c r="R37" s="2"/>
      <c r="S37" s="2"/>
      <c r="T37" s="1" t="s">
        <v>22</v>
      </c>
    </row>
    <row r="38" spans="1:20" ht="12.75">
      <c r="A38" t="s">
        <v>3</v>
      </c>
      <c r="B38" s="2">
        <v>42.04</v>
      </c>
      <c r="C38" s="2">
        <v>43.16</v>
      </c>
      <c r="D38" s="2">
        <v>93.3</v>
      </c>
      <c r="E38" s="2">
        <v>41.3</v>
      </c>
      <c r="F38" s="2">
        <v>2000000</v>
      </c>
      <c r="G38" s="2">
        <v>0</v>
      </c>
      <c r="H38">
        <f t="shared" si="0"/>
        <v>0.7434961341431074</v>
      </c>
      <c r="I38">
        <f t="shared" si="1"/>
        <v>0.729332074428802</v>
      </c>
      <c r="J38">
        <f t="shared" si="2"/>
        <v>0.44655433608087314</v>
      </c>
      <c r="K38">
        <f t="shared" si="3"/>
        <v>0.4340592506116179</v>
      </c>
      <c r="L38" s="9">
        <f t="shared" si="4"/>
        <v>0.6777445708443571</v>
      </c>
      <c r="M38" s="9">
        <f t="shared" si="5"/>
        <v>0.4524940745073762</v>
      </c>
      <c r="N38" s="9">
        <f t="shared" si="6"/>
        <v>1.894560386719007</v>
      </c>
      <c r="O38" s="2">
        <f t="shared" si="7"/>
        <v>7059932.222018213</v>
      </c>
      <c r="P38" s="2">
        <f t="shared" si="8"/>
        <v>42.66764626971814</v>
      </c>
      <c r="Q38" s="2">
        <f t="shared" si="9"/>
        <v>0.44028264099480885</v>
      </c>
      <c r="R38" s="2">
        <f t="shared" si="10"/>
        <v>6930235.971351406</v>
      </c>
      <c r="S38" s="2">
        <f t="shared" si="11"/>
        <v>425511.7823960173</v>
      </c>
      <c r="T38" t="s">
        <v>3</v>
      </c>
    </row>
    <row r="39" spans="1:20" ht="12.75">
      <c r="A39" t="s">
        <v>4</v>
      </c>
      <c r="B39" s="2">
        <v>40.37</v>
      </c>
      <c r="C39" s="2">
        <v>41.47</v>
      </c>
      <c r="D39" s="2">
        <v>93.3</v>
      </c>
      <c r="E39" s="2">
        <v>40</v>
      </c>
      <c r="F39" s="2">
        <v>2000000</v>
      </c>
      <c r="G39" s="2">
        <v>0</v>
      </c>
      <c r="H39">
        <f t="shared" si="0"/>
        <v>0.7601730419402406</v>
      </c>
      <c r="I39">
        <f t="shared" si="1"/>
        <v>0.746792802002835</v>
      </c>
      <c r="J39">
        <f t="shared" si="2"/>
        <v>0.4618047544267427</v>
      </c>
      <c r="K39">
        <f t="shared" si="3"/>
        <v>0.4495210059688639</v>
      </c>
      <c r="L39" s="9">
        <f t="shared" si="4"/>
        <v>0.6587010171786396</v>
      </c>
      <c r="M39" s="9">
        <f t="shared" si="5"/>
        <v>0.46834279885298746</v>
      </c>
      <c r="N39" s="9">
        <f t="shared" si="6"/>
        <v>1.9197546287543195</v>
      </c>
      <c r="O39" s="2">
        <f t="shared" si="7"/>
        <v>7429239.571275049</v>
      </c>
      <c r="P39" s="2">
        <f t="shared" si="8"/>
        <v>41.20088006657427</v>
      </c>
      <c r="Q39" s="2">
        <f t="shared" si="9"/>
        <v>0.45563980150361255</v>
      </c>
      <c r="R39" s="2">
        <f t="shared" si="10"/>
        <v>7295885.818735076</v>
      </c>
      <c r="S39" s="2">
        <f t="shared" si="11"/>
        <v>437511.43645822734</v>
      </c>
      <c r="T39" t="s">
        <v>4</v>
      </c>
    </row>
    <row r="40" spans="12:19" ht="12.75">
      <c r="L40" s="9"/>
      <c r="M40" s="9"/>
      <c r="N40" s="9"/>
      <c r="O40" s="2"/>
      <c r="P40" s="2"/>
      <c r="Q40" s="2"/>
      <c r="R40" s="2"/>
      <c r="S40" s="2"/>
    </row>
    <row r="41" spans="1:20" ht="12.75">
      <c r="A41" s="1" t="s">
        <v>23</v>
      </c>
      <c r="L41" s="9"/>
      <c r="M41" s="9"/>
      <c r="N41" s="9"/>
      <c r="O41" s="2"/>
      <c r="P41" s="2"/>
      <c r="Q41" s="2"/>
      <c r="R41" s="2"/>
      <c r="S41" s="2"/>
      <c r="T41" s="1" t="s">
        <v>23</v>
      </c>
    </row>
    <row r="42" spans="1:20" ht="12.75">
      <c r="A42" t="s">
        <v>3</v>
      </c>
      <c r="B42" s="2">
        <v>38.43</v>
      </c>
      <c r="C42" s="2">
        <v>39.47</v>
      </c>
      <c r="D42" s="2">
        <v>98</v>
      </c>
      <c r="E42" s="2">
        <v>38.2</v>
      </c>
      <c r="F42" s="2">
        <v>2000000</v>
      </c>
      <c r="G42" s="2">
        <v>0</v>
      </c>
      <c r="H42">
        <f t="shared" si="0"/>
        <v>0.7812835970978712</v>
      </c>
      <c r="I42">
        <f t="shared" si="1"/>
        <v>0.7695368004642545</v>
      </c>
      <c r="J42">
        <f t="shared" si="2"/>
        <v>0.4820524889787932</v>
      </c>
      <c r="K42">
        <f t="shared" si="3"/>
        <v>0.4706475278515252</v>
      </c>
      <c r="L42" s="9">
        <f t="shared" si="4"/>
        <v>0.6327146168485226</v>
      </c>
      <c r="M42" s="9">
        <f t="shared" si="5"/>
        <v>0.48617535769816667</v>
      </c>
      <c r="N42" s="9">
        <f t="shared" si="6"/>
        <v>1.9593484999228101</v>
      </c>
      <c r="O42" s="2">
        <f t="shared" si="7"/>
        <v>7918438.978508113</v>
      </c>
      <c r="P42" s="2">
        <f t="shared" si="8"/>
        <v>39.25068722527106</v>
      </c>
      <c r="Q42" s="2">
        <f t="shared" si="9"/>
        <v>0.47633038832911045</v>
      </c>
      <c r="R42" s="2">
        <f t="shared" si="10"/>
        <v>7816604.245549119</v>
      </c>
      <c r="S42" s="2">
        <f t="shared" si="11"/>
        <v>334102.78638296574</v>
      </c>
      <c r="T42" t="s">
        <v>3</v>
      </c>
    </row>
    <row r="43" spans="1:20" ht="12.75">
      <c r="A43" t="s">
        <v>4</v>
      </c>
      <c r="B43" s="2">
        <v>37.16</v>
      </c>
      <c r="C43" s="2">
        <v>38.34</v>
      </c>
      <c r="D43" s="2">
        <v>98.3</v>
      </c>
      <c r="E43" s="2">
        <v>36.4</v>
      </c>
      <c r="F43" s="2">
        <v>2000000</v>
      </c>
      <c r="G43" s="2">
        <v>0</v>
      </c>
      <c r="H43">
        <f t="shared" si="0"/>
        <v>0.7968152801400396</v>
      </c>
      <c r="I43">
        <f t="shared" si="1"/>
        <v>0.782913781326262</v>
      </c>
      <c r="J43">
        <f t="shared" si="2"/>
        <v>0.4977168345815363</v>
      </c>
      <c r="K43">
        <f t="shared" si="3"/>
        <v>0.4836642416428334</v>
      </c>
      <c r="L43" s="9">
        <f t="shared" si="4"/>
        <v>0.6145281165217147</v>
      </c>
      <c r="M43" s="9">
        <f t="shared" si="5"/>
        <v>0.5042545782894675</v>
      </c>
      <c r="N43" s="9">
        <f t="shared" si="6"/>
        <v>1.9908052325598653</v>
      </c>
      <c r="O43" s="2">
        <f t="shared" si="7"/>
        <v>8336760.302968652</v>
      </c>
      <c r="P43" s="2">
        <f t="shared" si="8"/>
        <v>37.9176403940117</v>
      </c>
      <c r="Q43" s="2">
        <f t="shared" si="9"/>
        <v>0.4906610133677067</v>
      </c>
      <c r="R43" s="2">
        <f t="shared" si="10"/>
        <v>8197924.452210309</v>
      </c>
      <c r="S43" s="2">
        <f t="shared" si="11"/>
        <v>455497.2870296637</v>
      </c>
      <c r="T43" t="s">
        <v>4</v>
      </c>
    </row>
    <row r="44" spans="12:19" ht="12.75">
      <c r="L44" s="9"/>
      <c r="M44" s="9"/>
      <c r="N44" s="9"/>
      <c r="O44" s="2"/>
      <c r="P44" s="2"/>
      <c r="Q44" s="2"/>
      <c r="R44" s="2"/>
      <c r="S44" s="2"/>
    </row>
    <row r="45" spans="1:20" ht="12.75">
      <c r="A45" s="1" t="s">
        <v>24</v>
      </c>
      <c r="L45" s="9"/>
      <c r="M45" s="9"/>
      <c r="N45" s="9"/>
      <c r="O45" s="2"/>
      <c r="P45" s="2"/>
      <c r="Q45" s="2"/>
      <c r="R45" s="2"/>
      <c r="S45" s="2"/>
      <c r="T45" s="1" t="s">
        <v>24</v>
      </c>
    </row>
    <row r="46" spans="1:20" ht="12.75">
      <c r="A46" t="s">
        <v>3</v>
      </c>
      <c r="B46" s="2">
        <v>37.58</v>
      </c>
      <c r="C46" s="2">
        <v>38.58</v>
      </c>
      <c r="D46" s="2">
        <v>84.15</v>
      </c>
      <c r="E46" s="2">
        <v>37.3</v>
      </c>
      <c r="F46" s="2">
        <v>2000000</v>
      </c>
      <c r="G46" s="2">
        <v>0</v>
      </c>
      <c r="H46">
        <f t="shared" si="0"/>
        <v>0.7893805501264368</v>
      </c>
      <c r="I46">
        <f t="shared" si="1"/>
        <v>0.7785546839086744</v>
      </c>
      <c r="J46">
        <f t="shared" si="2"/>
        <v>0.49013117664359446</v>
      </c>
      <c r="K46">
        <f t="shared" si="3"/>
        <v>0.47937061654994567</v>
      </c>
      <c r="L46" s="9">
        <f t="shared" si="4"/>
        <v>0.6220672576130419</v>
      </c>
      <c r="M46" s="9">
        <f t="shared" si="5"/>
        <v>0.49518333381315627</v>
      </c>
      <c r="N46" s="9">
        <f t="shared" si="6"/>
        <v>1.9774050508022267</v>
      </c>
      <c r="O46" s="2">
        <f t="shared" si="7"/>
        <v>8145507.405536495</v>
      </c>
      <c r="P46" s="2">
        <f t="shared" si="8"/>
        <v>38.467254230653126</v>
      </c>
      <c r="Q46" s="2">
        <f t="shared" si="9"/>
        <v>0.4847335221711199</v>
      </c>
      <c r="R46" s="2">
        <f t="shared" si="10"/>
        <v>8038147.215606436</v>
      </c>
      <c r="S46" s="2">
        <f t="shared" si="11"/>
        <v>352230.8897955353</v>
      </c>
      <c r="T46" t="s">
        <v>3</v>
      </c>
    </row>
    <row r="47" spans="1:20" ht="12.75">
      <c r="A47" t="s">
        <v>4</v>
      </c>
      <c r="B47" s="2">
        <v>36.44</v>
      </c>
      <c r="C47" s="2">
        <v>37.56</v>
      </c>
      <c r="D47" s="2">
        <v>85.45</v>
      </c>
      <c r="E47" s="2">
        <v>36.2</v>
      </c>
      <c r="F47" s="2">
        <v>2000000</v>
      </c>
      <c r="G47" s="2">
        <v>0</v>
      </c>
      <c r="H47">
        <f t="shared" si="0"/>
        <v>0.8023998146031581</v>
      </c>
      <c r="I47">
        <f t="shared" si="1"/>
        <v>0.789737274438853</v>
      </c>
      <c r="J47">
        <f t="shared" si="2"/>
        <v>0.5035265118518207</v>
      </c>
      <c r="K47">
        <f t="shared" si="3"/>
        <v>0.49049139313014234</v>
      </c>
      <c r="L47" s="9">
        <f t="shared" si="4"/>
        <v>0.6064623625204062</v>
      </c>
      <c r="M47" s="9">
        <f t="shared" si="5"/>
        <v>0.5079011594002408</v>
      </c>
      <c r="N47" s="9">
        <f t="shared" si="6"/>
        <v>2.0058534539145323</v>
      </c>
      <c r="O47" s="2">
        <f t="shared" si="7"/>
        <v>8483282.52158514</v>
      </c>
      <c r="P47" s="2">
        <f t="shared" si="8"/>
        <v>37.334145958245166</v>
      </c>
      <c r="Q47" s="2">
        <f t="shared" si="9"/>
        <v>0.4969836419570401</v>
      </c>
      <c r="R47" s="2">
        <f t="shared" si="10"/>
        <v>8372220.902210929</v>
      </c>
      <c r="S47" s="2">
        <f t="shared" si="11"/>
        <v>364374.6628968904</v>
      </c>
      <c r="T47" t="s">
        <v>4</v>
      </c>
    </row>
    <row r="48" spans="12:19" ht="12.75">
      <c r="L48" s="9"/>
      <c r="M48" s="9"/>
      <c r="N48" s="9"/>
      <c r="O48" s="2"/>
      <c r="P48" s="2"/>
      <c r="Q48" s="2"/>
      <c r="R48" s="2"/>
      <c r="S48" s="2"/>
    </row>
    <row r="49" spans="1:20" ht="12.75">
      <c r="A49" s="1" t="s">
        <v>25</v>
      </c>
      <c r="L49" s="9"/>
      <c r="M49" s="9"/>
      <c r="N49" s="9"/>
      <c r="O49" s="2"/>
      <c r="P49" s="2"/>
      <c r="Q49" s="2"/>
      <c r="R49" s="2"/>
      <c r="S49" s="2"/>
      <c r="T49" s="1" t="s">
        <v>25</v>
      </c>
    </row>
    <row r="50" spans="1:20" ht="12.75">
      <c r="A50" t="s">
        <v>3</v>
      </c>
      <c r="B50" s="2">
        <v>31.1</v>
      </c>
      <c r="C50" s="2">
        <v>32.4</v>
      </c>
      <c r="D50" s="2">
        <v>92.3</v>
      </c>
      <c r="E50" s="2">
        <v>30.4</v>
      </c>
      <c r="F50" s="2">
        <v>2000000</v>
      </c>
      <c r="G50" s="2">
        <v>0</v>
      </c>
      <c r="H50">
        <f t="shared" si="0"/>
        <v>0.8564421631621608</v>
      </c>
      <c r="I50">
        <f t="shared" si="1"/>
        <v>0.8426561734160489</v>
      </c>
      <c r="J50">
        <f t="shared" si="2"/>
        <v>0.565834184191529</v>
      </c>
      <c r="K50">
        <f t="shared" si="3"/>
        <v>0.548730475739624</v>
      </c>
      <c r="L50" s="9">
        <f t="shared" si="4"/>
        <v>0.5287006647908755</v>
      </c>
      <c r="M50" s="9">
        <f t="shared" si="5"/>
        <v>0.571590189432084</v>
      </c>
      <c r="N50" s="9">
        <f t="shared" si="6"/>
        <v>2.188978910889004</v>
      </c>
      <c r="O50" s="2">
        <f t="shared" si="7"/>
        <v>10387491.964675706</v>
      </c>
      <c r="P50" s="2">
        <f t="shared" si="8"/>
        <v>31.917705951719217</v>
      </c>
      <c r="Q50" s="2">
        <f t="shared" si="9"/>
        <v>0.5572400634342456</v>
      </c>
      <c r="R50" s="2">
        <f t="shared" si="10"/>
        <v>10248789.166452996</v>
      </c>
      <c r="S50" s="2">
        <f t="shared" si="11"/>
        <v>455060.7638356726</v>
      </c>
      <c r="T50" t="s">
        <v>3</v>
      </c>
    </row>
    <row r="51" spans="1:20" ht="12.75">
      <c r="A51" t="s">
        <v>4</v>
      </c>
      <c r="B51" s="2">
        <v>29.18</v>
      </c>
      <c r="C51" s="2">
        <v>30.42</v>
      </c>
      <c r="D51" s="2">
        <v>91.2</v>
      </c>
      <c r="E51" s="2">
        <v>28.4</v>
      </c>
      <c r="F51" s="2">
        <v>2000000</v>
      </c>
      <c r="G51" s="2">
        <v>0</v>
      </c>
      <c r="H51">
        <f t="shared" si="0"/>
        <v>0.8727769719154348</v>
      </c>
      <c r="I51">
        <f t="shared" si="1"/>
        <v>0.8606117863008921</v>
      </c>
      <c r="J51">
        <f t="shared" si="2"/>
        <v>0.5874678653605266</v>
      </c>
      <c r="K51">
        <f t="shared" si="3"/>
        <v>0.5712055866123855</v>
      </c>
      <c r="L51" s="9">
        <f t="shared" si="4"/>
        <v>0.5000126945044707</v>
      </c>
      <c r="M51" s="9">
        <f t="shared" si="5"/>
        <v>0.5948994583135672</v>
      </c>
      <c r="N51" s="9">
        <f t="shared" si="6"/>
        <v>2.2773675245388194</v>
      </c>
      <c r="O51" s="2">
        <f t="shared" si="7"/>
        <v>11203419.956961554</v>
      </c>
      <c r="P51" s="2">
        <f t="shared" si="8"/>
        <v>30.00083986520927</v>
      </c>
      <c r="Q51" s="2">
        <f t="shared" si="9"/>
        <v>0.5792988762306249</v>
      </c>
      <c r="R51" s="2">
        <f t="shared" si="10"/>
        <v>11055541.659962077</v>
      </c>
      <c r="S51" s="2">
        <f t="shared" si="11"/>
        <v>485164.0460724503</v>
      </c>
      <c r="T51" t="s">
        <v>4</v>
      </c>
    </row>
    <row r="52" spans="1:20" ht="12.75">
      <c r="A52" t="s">
        <v>26</v>
      </c>
      <c r="B52" s="2">
        <v>26.1</v>
      </c>
      <c r="C52" s="2">
        <v>27.5</v>
      </c>
      <c r="D52" s="2">
        <v>91.2</v>
      </c>
      <c r="E52" s="2">
        <v>25.4</v>
      </c>
      <c r="F52" s="2">
        <v>2000000</v>
      </c>
      <c r="G52" s="2">
        <v>0</v>
      </c>
      <c r="H52">
        <f t="shared" si="0"/>
        <v>0.8981063493612665</v>
      </c>
      <c r="I52">
        <f t="shared" si="1"/>
        <v>0.8849626352050047</v>
      </c>
      <c r="J52">
        <f t="shared" si="2"/>
        <v>0.6247115622650684</v>
      </c>
      <c r="K52">
        <f t="shared" si="3"/>
        <v>0.6047510093417906</v>
      </c>
      <c r="L52" s="9">
        <f t="shared" si="4"/>
        <v>0.454006853961471</v>
      </c>
      <c r="M52" s="9">
        <f t="shared" si="5"/>
        <v>0.6307687435380226</v>
      </c>
      <c r="N52" s="9">
        <f t="shared" si="6"/>
        <v>2.4492225249137274</v>
      </c>
      <c r="O52" s="2">
        <f t="shared" si="7"/>
        <v>12672622.467819827</v>
      </c>
      <c r="P52" s="2">
        <f t="shared" si="8"/>
        <v>27.00105165590799</v>
      </c>
      <c r="Q52" s="2">
        <f t="shared" si="9"/>
        <v>0.6146750506187564</v>
      </c>
      <c r="R52" s="2">
        <f t="shared" si="10"/>
        <v>12524790.23805655</v>
      </c>
      <c r="S52" s="2">
        <f t="shared" si="11"/>
        <v>485012.90714835085</v>
      </c>
      <c r="T52" t="s">
        <v>26</v>
      </c>
    </row>
    <row r="53" spans="12:19" ht="12.75">
      <c r="L53" s="9"/>
      <c r="M53" s="9"/>
      <c r="N53" s="9"/>
      <c r="O53" s="2"/>
      <c r="P53" s="2"/>
      <c r="Q53" s="2"/>
      <c r="R53" s="2"/>
      <c r="S53" s="2"/>
    </row>
    <row r="54" spans="1:20" ht="12.75">
      <c r="A54" s="1" t="s">
        <v>27</v>
      </c>
      <c r="B54" s="2">
        <v>38.18</v>
      </c>
      <c r="C54" s="2">
        <v>39.27</v>
      </c>
      <c r="D54" s="2">
        <v>77</v>
      </c>
      <c r="E54" s="2">
        <v>37.5</v>
      </c>
      <c r="F54" s="2">
        <v>800000</v>
      </c>
      <c r="G54" s="2">
        <v>0</v>
      </c>
      <c r="H54">
        <f t="shared" si="0"/>
        <v>0.7857985808757225</v>
      </c>
      <c r="I54">
        <f t="shared" si="1"/>
        <v>0.7732366350380248</v>
      </c>
      <c r="J54">
        <f t="shared" si="2"/>
        <v>0.4865344823302987</v>
      </c>
      <c r="K54">
        <f t="shared" si="3"/>
        <v>0.4742010535734037</v>
      </c>
      <c r="L54" s="9">
        <f t="shared" si="4"/>
        <v>0.6276341363877243</v>
      </c>
      <c r="M54" s="9">
        <f t="shared" si="5"/>
        <v>0.4915726422584192</v>
      </c>
      <c r="N54" s="9">
        <f t="shared" si="6"/>
        <v>1.9678085949629027</v>
      </c>
      <c r="O54" s="2">
        <f t="shared" si="7"/>
        <v>8037321.440581472</v>
      </c>
      <c r="P54" s="2">
        <f t="shared" si="8"/>
        <v>38.87578830181584</v>
      </c>
      <c r="Q54" s="2">
        <f t="shared" si="9"/>
        <v>0.48034488163224703</v>
      </c>
      <c r="R54" s="2">
        <f t="shared" si="10"/>
        <v>7921607.485274429</v>
      </c>
      <c r="S54" s="2">
        <f t="shared" si="11"/>
        <v>379638.2017031877</v>
      </c>
      <c r="T54" s="1" t="s">
        <v>27</v>
      </c>
    </row>
    <row r="55" spans="12:19" ht="12.75">
      <c r="L55" s="9"/>
      <c r="M55" s="9"/>
      <c r="N55" s="9"/>
      <c r="O55" s="2"/>
      <c r="P55" s="2"/>
      <c r="Q55" s="2"/>
      <c r="R55" s="2"/>
      <c r="S55" s="2"/>
    </row>
    <row r="56" spans="1:20" ht="12.75">
      <c r="A56" s="1" t="s">
        <v>28</v>
      </c>
      <c r="L56" s="9"/>
      <c r="M56" s="9"/>
      <c r="N56" s="9"/>
      <c r="O56" s="2"/>
      <c r="P56" s="2"/>
      <c r="Q56" s="2"/>
      <c r="R56" s="2"/>
      <c r="S56" s="2"/>
      <c r="T56" s="1" t="s">
        <v>28</v>
      </c>
    </row>
    <row r="57" spans="1:20" ht="12.75">
      <c r="A57" t="s">
        <v>29</v>
      </c>
      <c r="B57" s="2">
        <v>41.43</v>
      </c>
      <c r="C57" s="2">
        <v>42.41</v>
      </c>
      <c r="D57" s="2">
        <v>71.3</v>
      </c>
      <c r="E57" s="2">
        <v>41</v>
      </c>
      <c r="F57" s="2">
        <v>600000</v>
      </c>
      <c r="G57" s="2">
        <v>0</v>
      </c>
      <c r="H57">
        <f t="shared" si="0"/>
        <v>0.7475658235717874</v>
      </c>
      <c r="I57">
        <f t="shared" si="1"/>
        <v>0.7362579548270706</v>
      </c>
      <c r="J57">
        <f t="shared" si="2"/>
        <v>0.45021997373188827</v>
      </c>
      <c r="K57">
        <f t="shared" si="3"/>
        <v>0.4401193113648686</v>
      </c>
      <c r="L57" s="9">
        <f t="shared" si="4"/>
        <v>0.6717286772886326</v>
      </c>
      <c r="M57" s="9">
        <f t="shared" si="5"/>
        <v>0.4577564510770934</v>
      </c>
      <c r="N57" s="9">
        <f t="shared" si="6"/>
        <v>1.9022170837237622</v>
      </c>
      <c r="O57" s="2">
        <f t="shared" si="7"/>
        <v>7177894.824431662</v>
      </c>
      <c r="P57" s="2">
        <f t="shared" si="8"/>
        <v>42.20062554767114</v>
      </c>
      <c r="Q57" s="2">
        <f t="shared" si="9"/>
        <v>0.4451539177095904</v>
      </c>
      <c r="R57" s="2">
        <f t="shared" si="10"/>
        <v>7044543.710245755</v>
      </c>
      <c r="S57" s="2">
        <f t="shared" si="11"/>
        <v>437502.7804582661</v>
      </c>
      <c r="T57" t="s">
        <v>29</v>
      </c>
    </row>
    <row r="58" spans="1:20" ht="12.75">
      <c r="A58" t="s">
        <v>30</v>
      </c>
      <c r="B58" s="2">
        <v>41.17</v>
      </c>
      <c r="C58" s="2">
        <v>41.29</v>
      </c>
      <c r="D58" s="2">
        <v>70.3</v>
      </c>
      <c r="E58" s="2">
        <v>41</v>
      </c>
      <c r="F58" s="2">
        <v>200000</v>
      </c>
      <c r="G58" s="2">
        <v>0</v>
      </c>
      <c r="H58">
        <f t="shared" si="0"/>
        <v>0.752565620145388</v>
      </c>
      <c r="I58">
        <f t="shared" si="1"/>
        <v>0.7502633806644853</v>
      </c>
      <c r="J58">
        <f t="shared" si="2"/>
        <v>0.45477195059314657</v>
      </c>
      <c r="K58">
        <f t="shared" si="3"/>
        <v>0.4526691613818737</v>
      </c>
      <c r="L58" s="9">
        <f t="shared" si="4"/>
        <v>0.6610939817283482</v>
      </c>
      <c r="M58" s="9">
        <f t="shared" si="5"/>
        <v>0.4577564510770934</v>
      </c>
      <c r="N58" s="9">
        <f t="shared" si="6"/>
        <v>1.9165127627933922</v>
      </c>
      <c r="O58" s="2">
        <f t="shared" si="7"/>
        <v>7292186.670721695</v>
      </c>
      <c r="P58" s="2">
        <f t="shared" si="8"/>
        <v>41.38335951423183</v>
      </c>
      <c r="Q58" s="2">
        <f t="shared" si="9"/>
        <v>0.4537198771425579</v>
      </c>
      <c r="R58" s="2">
        <f t="shared" si="10"/>
        <v>7249612.083169313</v>
      </c>
      <c r="S58" s="2">
        <f t="shared" si="11"/>
        <v>139680.1259947722</v>
      </c>
      <c r="T58" t="s">
        <v>30</v>
      </c>
    </row>
    <row r="59" spans="12:19" ht="12.75">
      <c r="L59" s="9"/>
      <c r="M59" s="9"/>
      <c r="N59" s="9"/>
      <c r="O59" s="2"/>
      <c r="P59" s="2"/>
      <c r="Q59" s="2"/>
      <c r="R59" s="2"/>
      <c r="S59" s="2"/>
    </row>
    <row r="60" spans="1:20" ht="12.75">
      <c r="A60" s="1" t="s">
        <v>32</v>
      </c>
      <c r="L60" s="9"/>
      <c r="M60" s="9"/>
      <c r="N60" s="9"/>
      <c r="O60" s="2"/>
      <c r="P60" s="2"/>
      <c r="Q60" s="2"/>
      <c r="R60" s="2"/>
      <c r="S60" s="2"/>
      <c r="T60" s="1" t="s">
        <v>32</v>
      </c>
    </row>
    <row r="61" spans="1:20" ht="12.75">
      <c r="A61" t="s">
        <v>3</v>
      </c>
      <c r="B61" s="2">
        <v>45.29</v>
      </c>
      <c r="C61" s="2">
        <v>47.05</v>
      </c>
      <c r="D61" s="2">
        <v>87</v>
      </c>
      <c r="E61" s="2">
        <v>44.47</v>
      </c>
      <c r="F61" s="2">
        <v>2000000</v>
      </c>
      <c r="G61" s="2">
        <v>0</v>
      </c>
      <c r="H61">
        <f t="shared" si="0"/>
        <v>0.7023262542622831</v>
      </c>
      <c r="I61">
        <f t="shared" si="1"/>
        <v>0.6821732764998715</v>
      </c>
      <c r="J61">
        <f t="shared" si="2"/>
        <v>0.4112629961117016</v>
      </c>
      <c r="K61">
        <f t="shared" si="3"/>
        <v>0.3950263181113861</v>
      </c>
      <c r="L61" s="9">
        <f t="shared" si="4"/>
        <v>0.7227899400189033</v>
      </c>
      <c r="M61" s="9">
        <f t="shared" si="5"/>
        <v>0.41842301482479305</v>
      </c>
      <c r="N61" s="9">
        <f t="shared" si="6"/>
        <v>1.8468739257724232</v>
      </c>
      <c r="O61" s="2">
        <f t="shared" si="7"/>
        <v>6275428.06128723</v>
      </c>
      <c r="P61" s="2">
        <f t="shared" si="8"/>
        <v>46.2853060558747</v>
      </c>
      <c r="Q61" s="2">
        <f t="shared" si="9"/>
        <v>0.4031025529254391</v>
      </c>
      <c r="R61" s="2">
        <f t="shared" si="10"/>
        <v>6108493.9349417025</v>
      </c>
      <c r="S61" s="2">
        <f t="shared" si="11"/>
        <v>547683.0461852844</v>
      </c>
      <c r="T61" t="s">
        <v>3</v>
      </c>
    </row>
    <row r="62" spans="1:20" ht="12.75">
      <c r="A62" t="s">
        <v>19</v>
      </c>
      <c r="B62" s="2">
        <v>44.11</v>
      </c>
      <c r="C62" s="2">
        <v>45.42</v>
      </c>
      <c r="D62" s="2">
        <v>84.2</v>
      </c>
      <c r="E62" s="2">
        <v>43.19</v>
      </c>
      <c r="F62" s="2">
        <v>2000000</v>
      </c>
      <c r="G62" s="2">
        <v>0</v>
      </c>
      <c r="H62">
        <f t="shared" si="0"/>
        <v>0.7182951757022592</v>
      </c>
      <c r="I62">
        <f t="shared" si="1"/>
        <v>0.6996291513906061</v>
      </c>
      <c r="J62">
        <f t="shared" si="2"/>
        <v>0.42458839862269177</v>
      </c>
      <c r="K62">
        <f t="shared" si="3"/>
        <v>0.40905387048208536</v>
      </c>
      <c r="L62" s="9">
        <f t="shared" si="4"/>
        <v>0.706407411931439</v>
      </c>
      <c r="M62" s="9">
        <f t="shared" si="5"/>
        <v>0.4335410277672477</v>
      </c>
      <c r="N62" s="9">
        <f t="shared" si="6"/>
        <v>1.8623177271838864</v>
      </c>
      <c r="O62" s="2">
        <f t="shared" si="7"/>
        <v>6581847.1313978685</v>
      </c>
      <c r="P62" s="2">
        <f t="shared" si="8"/>
        <v>44.94335916783257</v>
      </c>
      <c r="Q62" s="2">
        <f t="shared" si="9"/>
        <v>0.4167830735277773</v>
      </c>
      <c r="R62" s="2">
        <f t="shared" si="10"/>
        <v>6401091.049062353</v>
      </c>
      <c r="S62" s="2">
        <f t="shared" si="11"/>
        <v>593030.580129105</v>
      </c>
      <c r="T62" t="s">
        <v>19</v>
      </c>
    </row>
    <row r="63" spans="1:20" ht="12.75">
      <c r="A63" t="s">
        <v>4</v>
      </c>
      <c r="B63" s="2">
        <v>42.06</v>
      </c>
      <c r="C63" s="2">
        <v>43.4</v>
      </c>
      <c r="D63" s="2">
        <v>84.2</v>
      </c>
      <c r="E63" s="2">
        <v>41.3</v>
      </c>
      <c r="F63" s="2">
        <v>2000000</v>
      </c>
      <c r="G63" s="2">
        <v>0</v>
      </c>
      <c r="H63">
        <f t="shared" si="0"/>
        <v>0.7431070876067559</v>
      </c>
      <c r="I63">
        <f t="shared" si="1"/>
        <v>0.7245389047172371</v>
      </c>
      <c r="J63">
        <f t="shared" si="2"/>
        <v>0.4462057341194186</v>
      </c>
      <c r="K63">
        <f t="shared" si="3"/>
        <v>0.4299187658967312</v>
      </c>
      <c r="L63" s="9">
        <f t="shared" si="4"/>
        <v>0.6805292653567194</v>
      </c>
      <c r="M63" s="9">
        <f t="shared" si="5"/>
        <v>0.4524940745073762</v>
      </c>
      <c r="N63" s="9">
        <f t="shared" si="6"/>
        <v>1.8910638219619824</v>
      </c>
      <c r="O63" s="2">
        <f t="shared" si="7"/>
        <v>7031358.68132457</v>
      </c>
      <c r="P63" s="2">
        <f t="shared" si="8"/>
        <v>42.88501556145275</v>
      </c>
      <c r="Q63" s="2">
        <f t="shared" si="9"/>
        <v>0.438021143230706</v>
      </c>
      <c r="R63" s="2">
        <f t="shared" si="10"/>
        <v>6877516.8250212185</v>
      </c>
      <c r="S63" s="2">
        <f t="shared" si="11"/>
        <v>504729.4902219138</v>
      </c>
      <c r="T63" t="s">
        <v>4</v>
      </c>
    </row>
    <row r="64" spans="12:19" ht="12.75">
      <c r="L64" s="9"/>
      <c r="M64" s="9"/>
      <c r="N64" s="9"/>
      <c r="O64" s="2"/>
      <c r="P64" s="2"/>
      <c r="Q64" s="2"/>
      <c r="R64" s="2"/>
      <c r="S64" s="2"/>
    </row>
    <row r="65" spans="1:20" ht="12.75">
      <c r="A65" s="1" t="s">
        <v>31</v>
      </c>
      <c r="L65" s="9"/>
      <c r="M65" s="9"/>
      <c r="N65" s="9"/>
      <c r="O65" s="2"/>
      <c r="P65" s="2"/>
      <c r="Q65" s="2"/>
      <c r="R65" s="2"/>
      <c r="S65" s="2"/>
      <c r="T65" s="1" t="s">
        <v>31</v>
      </c>
    </row>
    <row r="66" spans="1:20" ht="12.75">
      <c r="A66" t="s">
        <v>3</v>
      </c>
      <c r="B66" s="2">
        <v>47.02</v>
      </c>
      <c r="C66" s="2">
        <v>48.38</v>
      </c>
      <c r="D66" s="2">
        <v>93.06</v>
      </c>
      <c r="E66" s="2">
        <v>46.3</v>
      </c>
      <c r="F66" s="2">
        <v>2000000</v>
      </c>
      <c r="G66" s="2">
        <v>0</v>
      </c>
      <c r="H66">
        <f t="shared" si="0"/>
        <v>0.6828112525796656</v>
      </c>
      <c r="I66">
        <f t="shared" si="1"/>
        <v>0.6621387324583002</v>
      </c>
      <c r="J66">
        <f t="shared" si="2"/>
        <v>0.39553106152194345</v>
      </c>
      <c r="K66">
        <f t="shared" si="3"/>
        <v>0.37946128883951397</v>
      </c>
      <c r="L66" s="9">
        <f t="shared" si="4"/>
        <v>0.7412196454873603</v>
      </c>
      <c r="M66" s="9">
        <f t="shared" si="5"/>
        <v>0.40092552260567293</v>
      </c>
      <c r="N66" s="9">
        <f t="shared" si="6"/>
        <v>1.832025038031907</v>
      </c>
      <c r="O66" s="2">
        <f t="shared" si="7"/>
        <v>5934894.362529359</v>
      </c>
      <c r="P66" s="2">
        <f t="shared" si="8"/>
        <v>47.83541454198112</v>
      </c>
      <c r="Q66" s="2">
        <f t="shared" si="9"/>
        <v>0.38745428148686206</v>
      </c>
      <c r="R66" s="2">
        <f t="shared" si="10"/>
        <v>5786432.513513226</v>
      </c>
      <c r="S66" s="2">
        <f t="shared" si="11"/>
        <v>487078.5829804289</v>
      </c>
      <c r="T66" t="s">
        <v>3</v>
      </c>
    </row>
    <row r="67" spans="1:20" ht="12.75">
      <c r="A67" t="s">
        <v>19</v>
      </c>
      <c r="B67" s="2">
        <v>45.37</v>
      </c>
      <c r="C67" s="2">
        <v>47.03</v>
      </c>
      <c r="D67" s="2">
        <v>94.15</v>
      </c>
      <c r="E67" s="2">
        <v>45</v>
      </c>
      <c r="F67" s="2">
        <v>2000000</v>
      </c>
      <c r="G67" s="2">
        <v>0</v>
      </c>
      <c r="H67">
        <f t="shared" si="0"/>
        <v>0.7006676931055975</v>
      </c>
      <c r="I67">
        <f t="shared" si="1"/>
        <v>0.682598652085732</v>
      </c>
      <c r="J67">
        <f t="shared" si="2"/>
        <v>0.40990314216799295</v>
      </c>
      <c r="K67">
        <f t="shared" si="3"/>
        <v>0.39536279502511823</v>
      </c>
      <c r="L67" s="9">
        <f t="shared" si="4"/>
        <v>0.7233880733002199</v>
      </c>
      <c r="M67" s="9">
        <f t="shared" si="5"/>
        <v>0.4162030622507701</v>
      </c>
      <c r="N67" s="9">
        <f t="shared" si="6"/>
        <v>1.8463860709172277</v>
      </c>
      <c r="O67" s="2">
        <f t="shared" si="7"/>
        <v>6246418.211222531</v>
      </c>
      <c r="P67" s="2">
        <f t="shared" si="8"/>
        <v>46.33491919471125</v>
      </c>
      <c r="Q67" s="2">
        <f t="shared" si="9"/>
        <v>0.40259918610887896</v>
      </c>
      <c r="R67" s="2">
        <f t="shared" si="10"/>
        <v>6098048.12209659</v>
      </c>
      <c r="S67" s="2">
        <f t="shared" si="11"/>
        <v>486777.5340740264</v>
      </c>
      <c r="T67" t="s">
        <v>19</v>
      </c>
    </row>
    <row r="68" spans="1:20" ht="12.75">
      <c r="A68" t="s">
        <v>4</v>
      </c>
      <c r="B68" s="2">
        <v>43.47</v>
      </c>
      <c r="C68" s="2">
        <v>45.13</v>
      </c>
      <c r="D68" s="2">
        <v>94</v>
      </c>
      <c r="E68" s="2">
        <v>43</v>
      </c>
      <c r="F68" s="2">
        <v>2000000</v>
      </c>
      <c r="G68" s="2">
        <v>0</v>
      </c>
      <c r="H68">
        <f t="shared" si="0"/>
        <v>0.7231341941064742</v>
      </c>
      <c r="I68">
        <f t="shared" si="1"/>
        <v>0.7056318779037697</v>
      </c>
      <c r="J68">
        <f t="shared" si="2"/>
        <v>0.4287133943468171</v>
      </c>
      <c r="K68">
        <f t="shared" si="3"/>
        <v>0.4139864870420935</v>
      </c>
      <c r="L68" s="9">
        <f t="shared" si="4"/>
        <v>0.7009277974609585</v>
      </c>
      <c r="M68" s="9">
        <f t="shared" si="5"/>
        <v>0.436826324101676</v>
      </c>
      <c r="N68" s="9">
        <f t="shared" si="6"/>
        <v>1.8679702370833773</v>
      </c>
      <c r="O68" s="2">
        <f t="shared" si="7"/>
        <v>6667314.815711705</v>
      </c>
      <c r="P68" s="2">
        <f t="shared" si="8"/>
        <v>44.501488797478366</v>
      </c>
      <c r="Q68" s="2">
        <f t="shared" si="9"/>
        <v>0.42131586869632537</v>
      </c>
      <c r="R68" s="2">
        <f t="shared" si="10"/>
        <v>6500484.17188816</v>
      </c>
      <c r="S68" s="2">
        <f t="shared" si="11"/>
        <v>547343.5372777486</v>
      </c>
      <c r="T68" t="s">
        <v>4</v>
      </c>
    </row>
    <row r="69" spans="12:19" ht="12.75">
      <c r="L69" s="9"/>
      <c r="M69" s="9"/>
      <c r="N69" s="9"/>
      <c r="O69" s="2"/>
      <c r="P69" s="2"/>
      <c r="Q69" s="2"/>
      <c r="R69" s="2"/>
      <c r="S69" s="2"/>
    </row>
    <row r="70" spans="1:20" ht="12.75">
      <c r="A70" s="1" t="s">
        <v>33</v>
      </c>
      <c r="L70" s="9"/>
      <c r="M70" s="9"/>
      <c r="N70" s="9"/>
      <c r="O70" s="2"/>
      <c r="P70" s="2"/>
      <c r="Q70" s="2"/>
      <c r="R70" s="2"/>
      <c r="S70" s="2"/>
      <c r="T70" s="1" t="s">
        <v>33</v>
      </c>
    </row>
    <row r="71" spans="1:20" ht="12.75">
      <c r="A71" t="s">
        <v>3</v>
      </c>
      <c r="B71" s="2">
        <v>47.51</v>
      </c>
      <c r="C71" s="2">
        <v>48.43</v>
      </c>
      <c r="D71" s="2">
        <v>109.3</v>
      </c>
      <c r="E71" s="2">
        <v>47</v>
      </c>
      <c r="F71" s="2">
        <v>2000000</v>
      </c>
      <c r="G71" s="2">
        <v>0</v>
      </c>
      <c r="H71">
        <f t="shared" si="0"/>
        <v>0.6723257058306118</v>
      </c>
      <c r="I71">
        <f t="shared" si="1"/>
        <v>0.6610476335964884</v>
      </c>
      <c r="J71">
        <f t="shared" si="2"/>
        <v>0.3873078032005615</v>
      </c>
      <c r="K71">
        <f t="shared" si="3"/>
        <v>0.37862887799838824</v>
      </c>
      <c r="L71" s="9">
        <f t="shared" si="4"/>
        <v>0.746451846964743</v>
      </c>
      <c r="M71" s="9">
        <f t="shared" si="5"/>
        <v>0.3958676506465955</v>
      </c>
      <c r="N71" s="9">
        <f t="shared" si="6"/>
        <v>1.828412134313023</v>
      </c>
      <c r="O71" s="2">
        <f t="shared" si="7"/>
        <v>5839331.463764455</v>
      </c>
      <c r="P71" s="2">
        <f t="shared" si="8"/>
        <v>48.28395360371209</v>
      </c>
      <c r="Q71" s="2">
        <f t="shared" si="9"/>
        <v>0.38295606144695266</v>
      </c>
      <c r="R71" s="2">
        <f t="shared" si="10"/>
        <v>5696569.838790143</v>
      </c>
      <c r="S71" s="2">
        <f t="shared" si="11"/>
        <v>468377.09793655615</v>
      </c>
      <c r="T71" t="s">
        <v>3</v>
      </c>
    </row>
    <row r="72" spans="1:20" ht="12.75">
      <c r="A72" t="s">
        <v>19</v>
      </c>
      <c r="B72" s="2">
        <v>46.27</v>
      </c>
      <c r="C72" s="2">
        <v>47.53</v>
      </c>
      <c r="D72" s="2">
        <v>109.3</v>
      </c>
      <c r="E72" s="2">
        <v>45.5</v>
      </c>
      <c r="F72" s="2">
        <v>2000000</v>
      </c>
      <c r="G72" s="2">
        <v>0</v>
      </c>
      <c r="H72">
        <f t="shared" si="0"/>
        <v>0.6902154636143482</v>
      </c>
      <c r="I72">
        <f t="shared" si="1"/>
        <v>0.6718947851680029</v>
      </c>
      <c r="J72">
        <f t="shared" si="2"/>
        <v>0.4014322474866264</v>
      </c>
      <c r="K72">
        <f t="shared" si="3"/>
        <v>0.38697309681261977</v>
      </c>
      <c r="L72" s="9">
        <f t="shared" si="4"/>
        <v>0.7333538238481053</v>
      </c>
      <c r="M72" s="9">
        <f t="shared" si="5"/>
        <v>0.407696051187154</v>
      </c>
      <c r="N72" s="9">
        <f t="shared" si="6"/>
        <v>1.8380765369818566</v>
      </c>
      <c r="O72" s="2">
        <f t="shared" si="7"/>
        <v>6071569.15897346</v>
      </c>
      <c r="P72" s="2">
        <f t="shared" si="8"/>
        <v>47.16829879401427</v>
      </c>
      <c r="Q72" s="2">
        <f t="shared" si="9"/>
        <v>0.39416898834101743</v>
      </c>
      <c r="R72" s="2">
        <f t="shared" si="10"/>
        <v>5923171.957436277</v>
      </c>
      <c r="S72" s="2">
        <f t="shared" si="11"/>
        <v>486866.48537657614</v>
      </c>
      <c r="T72" t="s">
        <v>19</v>
      </c>
    </row>
    <row r="73" spans="1:20" ht="12.75">
      <c r="A73" t="s">
        <v>4</v>
      </c>
      <c r="B73" s="2">
        <v>44.52</v>
      </c>
      <c r="C73" s="2">
        <v>46.24</v>
      </c>
      <c r="D73" s="2">
        <v>109.3</v>
      </c>
      <c r="E73" s="2">
        <v>44</v>
      </c>
      <c r="F73" s="2">
        <v>2000000</v>
      </c>
      <c r="G73" s="2">
        <v>0</v>
      </c>
      <c r="H73">
        <f t="shared" si="0"/>
        <v>0.709947142359122</v>
      </c>
      <c r="I73">
        <f t="shared" si="1"/>
        <v>0.6908467671623902</v>
      </c>
      <c r="J73">
        <f t="shared" si="2"/>
        <v>0.4175687857200463</v>
      </c>
      <c r="K73">
        <f t="shared" si="3"/>
        <v>0.40193914397108615</v>
      </c>
      <c r="L73" s="9">
        <f t="shared" si="4"/>
        <v>0.7149012270535882</v>
      </c>
      <c r="M73" s="9">
        <f t="shared" si="5"/>
        <v>0.4264775456502487</v>
      </c>
      <c r="N73" s="9">
        <f t="shared" si="6"/>
        <v>1.8540522629123042</v>
      </c>
      <c r="O73" s="2">
        <f t="shared" si="7"/>
        <v>6430324.045139202</v>
      </c>
      <c r="P73" s="2">
        <f t="shared" si="8"/>
        <v>45.635104945954126</v>
      </c>
      <c r="Q73" s="2">
        <f t="shared" si="9"/>
        <v>0.4097151907198845</v>
      </c>
      <c r="R73" s="2">
        <f t="shared" si="10"/>
        <v>6248611.082541046</v>
      </c>
      <c r="S73" s="2">
        <f t="shared" si="11"/>
        <v>596169.944790784</v>
      </c>
      <c r="T73" t="s">
        <v>4</v>
      </c>
    </row>
    <row r="74" spans="12:19" ht="12.75">
      <c r="L74" s="9"/>
      <c r="M74" s="9"/>
      <c r="N74" s="9"/>
      <c r="O74" s="2"/>
      <c r="P74" s="2"/>
      <c r="Q74" s="2"/>
      <c r="R74" s="2"/>
      <c r="S74" s="2"/>
    </row>
    <row r="75" spans="1:20" ht="12.75">
      <c r="A75" s="1" t="s">
        <v>34</v>
      </c>
      <c r="L75" s="9"/>
      <c r="M75" s="9"/>
      <c r="N75" s="9"/>
      <c r="O75" s="2"/>
      <c r="P75" s="2"/>
      <c r="Q75" s="2"/>
      <c r="R75" s="2"/>
      <c r="S75" s="2"/>
      <c r="T75" s="1" t="s">
        <v>34</v>
      </c>
    </row>
    <row r="76" spans="1:20" ht="12.75">
      <c r="A76" t="s">
        <v>3</v>
      </c>
      <c r="B76" s="2">
        <v>41.51</v>
      </c>
      <c r="C76" s="2">
        <v>42.49</v>
      </c>
      <c r="D76" s="2">
        <v>100</v>
      </c>
      <c r="E76" s="2">
        <v>41.2</v>
      </c>
      <c r="F76" s="2">
        <v>2000000</v>
      </c>
      <c r="G76" s="2">
        <v>0</v>
      </c>
      <c r="H76">
        <f t="shared" si="0"/>
        <v>0.7460187640933194</v>
      </c>
      <c r="I76">
        <f t="shared" si="1"/>
        <v>0.7346816375916242</v>
      </c>
      <c r="J76">
        <f t="shared" si="2"/>
        <v>0.4488223924545655</v>
      </c>
      <c r="K76">
        <f t="shared" si="3"/>
        <v>0.43873184804540943</v>
      </c>
      <c r="L76" s="9">
        <f t="shared" si="4"/>
        <v>0.6734508077117827</v>
      </c>
      <c r="M76" s="9">
        <f t="shared" si="5"/>
        <v>0.45424595044512006</v>
      </c>
      <c r="N76" s="9">
        <f t="shared" si="6"/>
        <v>1.900004243558062</v>
      </c>
      <c r="O76" s="2">
        <f t="shared" si="7"/>
        <v>7122878.402012413</v>
      </c>
      <c r="P76" s="2">
        <f t="shared" si="8"/>
        <v>42.333961773234755</v>
      </c>
      <c r="Q76" s="2">
        <f t="shared" si="9"/>
        <v>0.4437614104226056</v>
      </c>
      <c r="R76" s="2">
        <f t="shared" si="10"/>
        <v>7011738.454284173</v>
      </c>
      <c r="S76" s="2">
        <f t="shared" si="11"/>
        <v>364631.6451717338</v>
      </c>
      <c r="T76" t="s">
        <v>3</v>
      </c>
    </row>
    <row r="77" spans="1:20" ht="12.75">
      <c r="A77" t="s">
        <v>4</v>
      </c>
      <c r="B77" s="2">
        <v>40.17</v>
      </c>
      <c r="C77" s="2">
        <v>41.43</v>
      </c>
      <c r="D77" s="2">
        <v>99.3</v>
      </c>
      <c r="E77" s="2">
        <v>39.4</v>
      </c>
      <c r="F77" s="2">
        <v>2000000</v>
      </c>
      <c r="G77" s="2">
        <v>0</v>
      </c>
      <c r="H77">
        <f aca="true" t="shared" si="12" ref="H77:H138">COS(torad(B77))/(SQRT(1-$I$3*SIN(torad(B77))^2))</f>
        <v>0.7639380409265287</v>
      </c>
      <c r="I77">
        <f aca="true" t="shared" si="13" ref="I77:I138">COS(torad(C77))/(SQRT(1-$I$3*SIN(torad(C77))^2))</f>
        <v>0.7475658235717874</v>
      </c>
      <c r="J77">
        <f aca="true" t="shared" si="14" ref="J77:J138">TAN(PI()/4-torad(B77)/2)/POWER(((1-$I$4*SIN(torad(B77)))/(1+$I$4*SIN(torad(B77)))),$I$4/2)</f>
        <v>0.46533488911468573</v>
      </c>
      <c r="K77">
        <f aca="true" t="shared" si="15" ref="K77:K138">TAN(PI()/4-torad(C77)/2)/POWER(((1-$I$4*SIN(torad(C77)))/(1+$I$4*SIN(torad(C77)))),$I$4/2)</f>
        <v>0.45021997373188827</v>
      </c>
      <c r="L77" s="9">
        <f aca="true" t="shared" si="16" ref="L77:L138">(LN(I77)-LN(H77))/(LN(K77)-LN(J77))</f>
        <v>0.6560764044854773</v>
      </c>
      <c r="M77" s="9">
        <f aca="true" t="shared" si="17" ref="M77:M138">TAN(PI()/4-torad(E77)/2)/POWER(((1-$I$4*SIN(torad(E77)))/(1+$I$4*SIN(torad(E77)))),$I$4/2)</f>
        <v>0.47189018421894074</v>
      </c>
      <c r="N77" s="9">
        <f aca="true" t="shared" si="18" ref="N77:N138">H77/(L77*POWER(J77,L77))</f>
        <v>1.9234232356780252</v>
      </c>
      <c r="O77" s="2">
        <f aca="true" t="shared" si="19" ref="O77:O138">$I$2*N77*POWER(M77,L77)</f>
        <v>7495285.261338276</v>
      </c>
      <c r="P77" s="2">
        <f aca="true" t="shared" si="20" ref="P77:P138">DEGREES(ASIN(L77))</f>
        <v>41.00131911998627</v>
      </c>
      <c r="Q77" s="2">
        <f aca="true" t="shared" si="21" ref="Q77:Q138">TAN(PI()/4-RADIANS(P77)/2)/POWER(((1-$I$4*SIN(RADIANS(P77)))/(1+$I$4*SIN(RADIANS(P77)))),$I$4/2)</f>
        <v>0.4577425409366356</v>
      </c>
      <c r="R77" s="2">
        <f aca="true" t="shared" si="22" ref="R77:R138">$I$2*N77*Q77^L77</f>
        <v>7347084.828992754</v>
      </c>
      <c r="S77" s="2">
        <f aca="true" t="shared" si="23" ref="S77:S138">$K$2*(O77-R77)+G77</f>
        <v>486220.9184535989</v>
      </c>
      <c r="T77" t="s">
        <v>4</v>
      </c>
    </row>
    <row r="78" spans="12:19" ht="12.75">
      <c r="L78" s="9"/>
      <c r="M78" s="9"/>
      <c r="N78" s="9"/>
      <c r="O78" s="2"/>
      <c r="P78" s="2"/>
      <c r="Q78" s="2"/>
      <c r="R78" s="2"/>
      <c r="S78" s="2"/>
    </row>
    <row r="79" spans="1:20" ht="12.75">
      <c r="A79" s="1" t="s">
        <v>35</v>
      </c>
      <c r="L79" s="9"/>
      <c r="M79" s="9"/>
      <c r="N79" s="9"/>
      <c r="O79" s="2"/>
      <c r="P79" s="2"/>
      <c r="Q79" s="2"/>
      <c r="R79" s="2"/>
      <c r="S79" s="2"/>
      <c r="T79" s="1" t="s">
        <v>35</v>
      </c>
    </row>
    <row r="80" spans="1:20" ht="12.75">
      <c r="A80" t="s">
        <v>36</v>
      </c>
      <c r="B80" s="2">
        <v>40.4</v>
      </c>
      <c r="C80" s="2">
        <v>41.02</v>
      </c>
      <c r="D80" s="2">
        <v>74</v>
      </c>
      <c r="E80" s="2">
        <v>40.3</v>
      </c>
      <c r="F80" s="2">
        <v>2000000</v>
      </c>
      <c r="G80" s="2">
        <v>100000</v>
      </c>
      <c r="H80">
        <f t="shared" si="12"/>
        <v>0.7596060595242934</v>
      </c>
      <c r="I80">
        <f t="shared" si="13"/>
        <v>0.7554304568587189</v>
      </c>
      <c r="J80">
        <f t="shared" si="14"/>
        <v>0.46127602894816455</v>
      </c>
      <c r="K80">
        <f t="shared" si="15"/>
        <v>0.4574049941050567</v>
      </c>
      <c r="L80" s="9">
        <f t="shared" si="16"/>
        <v>0.654082093485984</v>
      </c>
      <c r="M80" s="9">
        <f t="shared" si="17"/>
        <v>0.46303925162871473</v>
      </c>
      <c r="N80" s="9">
        <f t="shared" si="18"/>
        <v>1.9264304208629957</v>
      </c>
      <c r="O80" s="2">
        <f t="shared" si="19"/>
        <v>7425718.6812033905</v>
      </c>
      <c r="P80" s="2">
        <f t="shared" si="20"/>
        <v>40.85008601491714</v>
      </c>
      <c r="Q80" s="2">
        <f t="shared" si="21"/>
        <v>0.45933822403567276</v>
      </c>
      <c r="R80" s="2">
        <f t="shared" si="22"/>
        <v>7386843.054717508</v>
      </c>
      <c r="S80" s="2">
        <f t="shared" si="23"/>
        <v>227544.45122909895</v>
      </c>
      <c r="T80" t="s">
        <v>36</v>
      </c>
    </row>
    <row r="81" spans="12:19" ht="12.75">
      <c r="L81" s="9"/>
      <c r="M81" s="9"/>
      <c r="N81" s="9"/>
      <c r="O81" s="2"/>
      <c r="P81" s="2"/>
      <c r="Q81" s="2"/>
      <c r="R81" s="2"/>
      <c r="S81" s="2"/>
    </row>
    <row r="82" spans="1:20" ht="12.75">
      <c r="A82" s="1" t="s">
        <v>37</v>
      </c>
      <c r="B82" s="2">
        <v>34.2</v>
      </c>
      <c r="C82" s="2">
        <v>36.1</v>
      </c>
      <c r="D82" s="2">
        <v>79</v>
      </c>
      <c r="E82" s="2">
        <v>33.45</v>
      </c>
      <c r="F82" s="2">
        <v>2000000</v>
      </c>
      <c r="G82" s="2">
        <v>0</v>
      </c>
      <c r="H82">
        <f t="shared" si="12"/>
        <v>0.8266607436804098</v>
      </c>
      <c r="I82">
        <f t="shared" si="13"/>
        <v>0.8082569730528911</v>
      </c>
      <c r="J82">
        <f t="shared" si="14"/>
        <v>0.5300048396905708</v>
      </c>
      <c r="K82">
        <f t="shared" si="15"/>
        <v>0.5097283783452102</v>
      </c>
      <c r="L82" s="9">
        <f t="shared" si="16"/>
        <v>0.5771702622905659</v>
      </c>
      <c r="M82" s="9">
        <f t="shared" si="17"/>
        <v>0.5365263394044398</v>
      </c>
      <c r="N82" s="9">
        <f t="shared" si="18"/>
        <v>2.0661452419068933</v>
      </c>
      <c r="O82" s="2">
        <f t="shared" si="19"/>
        <v>9199991.166557787</v>
      </c>
      <c r="P82" s="2">
        <f t="shared" si="20"/>
        <v>35.25175909476455</v>
      </c>
      <c r="Q82" s="2">
        <f t="shared" si="21"/>
        <v>0.5198061281115103</v>
      </c>
      <c r="R82" s="2">
        <f t="shared" si="22"/>
        <v>9033405.79712433</v>
      </c>
      <c r="S82" s="2">
        <f t="shared" si="23"/>
        <v>546538.8328829336</v>
      </c>
      <c r="T82" s="1" t="s">
        <v>37</v>
      </c>
    </row>
    <row r="83" spans="12:19" ht="12.75">
      <c r="L83" s="9"/>
      <c r="M83" s="9"/>
      <c r="N83" s="9"/>
      <c r="O83" s="2"/>
      <c r="P83" s="2"/>
      <c r="Q83" s="2"/>
      <c r="R83" s="2"/>
      <c r="S83" s="2"/>
    </row>
    <row r="84" spans="1:20" ht="12.75">
      <c r="A84" s="1" t="s">
        <v>38</v>
      </c>
      <c r="L84" s="9"/>
      <c r="M84" s="9"/>
      <c r="N84" s="9"/>
      <c r="O84" s="2"/>
      <c r="P84" s="2"/>
      <c r="Q84" s="2"/>
      <c r="R84" s="2"/>
      <c r="S84" s="2"/>
      <c r="T84" s="1" t="s">
        <v>38</v>
      </c>
    </row>
    <row r="85" spans="1:20" ht="12.75">
      <c r="A85" t="s">
        <v>3</v>
      </c>
      <c r="B85" s="2">
        <v>47.26</v>
      </c>
      <c r="C85" s="2">
        <v>48.44</v>
      </c>
      <c r="D85" s="2">
        <v>100.3</v>
      </c>
      <c r="E85" s="2">
        <v>47</v>
      </c>
      <c r="F85" s="2">
        <v>2000000</v>
      </c>
      <c r="G85" s="2">
        <v>0</v>
      </c>
      <c r="H85">
        <f t="shared" si="12"/>
        <v>0.6776928119180303</v>
      </c>
      <c r="I85">
        <f t="shared" si="13"/>
        <v>0.6608292445163764</v>
      </c>
      <c r="J85">
        <f t="shared" si="14"/>
        <v>0.3914978052628259</v>
      </c>
      <c r="K85">
        <f t="shared" si="15"/>
        <v>0.37846244895415426</v>
      </c>
      <c r="L85" s="9">
        <f t="shared" si="16"/>
        <v>0.7441334084479566</v>
      </c>
      <c r="M85" s="9">
        <f t="shared" si="17"/>
        <v>0.3958676506465955</v>
      </c>
      <c r="N85" s="9">
        <f t="shared" si="18"/>
        <v>1.829977655016325</v>
      </c>
      <c r="O85" s="2">
        <f t="shared" si="19"/>
        <v>5856900.900239215</v>
      </c>
      <c r="P85" s="2">
        <f t="shared" si="20"/>
        <v>48.084719183720594</v>
      </c>
      <c r="Q85" s="2">
        <f t="shared" si="21"/>
        <v>0.3849524878026062</v>
      </c>
      <c r="R85" s="2">
        <f t="shared" si="22"/>
        <v>5736301.249407351</v>
      </c>
      <c r="S85" s="2">
        <f t="shared" si="23"/>
        <v>395667.35443754116</v>
      </c>
      <c r="T85" t="s">
        <v>3</v>
      </c>
    </row>
    <row r="86" spans="1:20" ht="12.75">
      <c r="A86" t="s">
        <v>4</v>
      </c>
      <c r="B86" s="2">
        <v>46.11</v>
      </c>
      <c r="C86" s="2">
        <v>47.29</v>
      </c>
      <c r="D86" s="2">
        <v>100.3</v>
      </c>
      <c r="E86" s="2">
        <v>45.4</v>
      </c>
      <c r="F86" s="2">
        <v>2000000</v>
      </c>
      <c r="G86" s="2">
        <v>0</v>
      </c>
      <c r="H86">
        <f t="shared" si="12"/>
        <v>0.693576285207752</v>
      </c>
      <c r="I86">
        <f t="shared" si="13"/>
        <v>0.6770506610079784</v>
      </c>
      <c r="J86">
        <f t="shared" si="14"/>
        <v>0.4041376852127894</v>
      </c>
      <c r="K86">
        <f t="shared" si="15"/>
        <v>0.39099439885193393</v>
      </c>
      <c r="L86" s="9">
        <f t="shared" si="16"/>
        <v>0.7293826046579431</v>
      </c>
      <c r="M86" s="9">
        <f t="shared" si="17"/>
        <v>0.40939352047005384</v>
      </c>
      <c r="N86" s="9">
        <f t="shared" si="18"/>
        <v>1.8413208959045142</v>
      </c>
      <c r="O86" s="2">
        <f t="shared" si="19"/>
        <v>6122522.887665357</v>
      </c>
      <c r="P86" s="2">
        <f t="shared" si="20"/>
        <v>46.83466056911334</v>
      </c>
      <c r="Q86" s="2">
        <f t="shared" si="21"/>
        <v>0.39753830317247796</v>
      </c>
      <c r="R86" s="2">
        <f t="shared" si="22"/>
        <v>5992693.243290525</v>
      </c>
      <c r="S86" s="2">
        <f t="shared" si="23"/>
        <v>425949.424919763</v>
      </c>
      <c r="T86" t="s">
        <v>4</v>
      </c>
    </row>
    <row r="87" spans="12:19" ht="12.75">
      <c r="L87" s="9"/>
      <c r="M87" s="9"/>
      <c r="N87" s="9"/>
      <c r="O87" s="2"/>
      <c r="P87" s="2"/>
      <c r="Q87" s="2"/>
      <c r="R87" s="2"/>
      <c r="S87" s="2"/>
    </row>
    <row r="88" spans="1:20" ht="12.75">
      <c r="A88" s="1" t="s">
        <v>39</v>
      </c>
      <c r="L88" s="9"/>
      <c r="M88" s="9"/>
      <c r="N88" s="9"/>
      <c r="O88" s="2"/>
      <c r="P88" s="2"/>
      <c r="Q88" s="2"/>
      <c r="R88" s="2"/>
      <c r="S88" s="2"/>
      <c r="T88" s="1" t="s">
        <v>39</v>
      </c>
    </row>
    <row r="89" spans="1:20" ht="12.75">
      <c r="A89" t="s">
        <v>3</v>
      </c>
      <c r="B89" s="2">
        <v>40.26</v>
      </c>
      <c r="C89" s="2">
        <v>41.42</v>
      </c>
      <c r="D89" s="2">
        <v>82.3</v>
      </c>
      <c r="E89" s="2">
        <v>39.4</v>
      </c>
      <c r="F89" s="2">
        <v>2000000</v>
      </c>
      <c r="G89" s="2">
        <v>0</v>
      </c>
      <c r="H89">
        <f t="shared" si="12"/>
        <v>0.7622469982167336</v>
      </c>
      <c r="I89">
        <f t="shared" si="13"/>
        <v>0.7477589200412216</v>
      </c>
      <c r="J89">
        <f t="shared" si="14"/>
        <v>0.463745185469144</v>
      </c>
      <c r="K89">
        <f t="shared" si="15"/>
        <v>0.4503947711113097</v>
      </c>
      <c r="L89" s="9">
        <f t="shared" si="16"/>
        <v>0.6569503167001688</v>
      </c>
      <c r="M89" s="9">
        <f t="shared" si="17"/>
        <v>0.47189018421894074</v>
      </c>
      <c r="N89" s="9">
        <f t="shared" si="18"/>
        <v>1.9222109246076553</v>
      </c>
      <c r="O89" s="2">
        <f t="shared" si="19"/>
        <v>7485646.509521934</v>
      </c>
      <c r="P89" s="2">
        <f t="shared" si="20"/>
        <v>41.06769925408548</v>
      </c>
      <c r="Q89" s="2">
        <f t="shared" si="21"/>
        <v>0.4570427447656713</v>
      </c>
      <c r="R89" s="2">
        <f t="shared" si="22"/>
        <v>7330070.216118256</v>
      </c>
      <c r="S89" s="2">
        <f t="shared" si="23"/>
        <v>510419.8892752354</v>
      </c>
      <c r="T89" t="s">
        <v>3</v>
      </c>
    </row>
    <row r="90" spans="1:20" ht="12.75">
      <c r="A90" t="s">
        <v>4</v>
      </c>
      <c r="B90" s="2">
        <v>38.44</v>
      </c>
      <c r="C90" s="2">
        <v>40.02</v>
      </c>
      <c r="D90" s="2">
        <v>82.3</v>
      </c>
      <c r="E90" s="2">
        <v>38</v>
      </c>
      <c r="F90" s="2">
        <v>2000000</v>
      </c>
      <c r="G90" s="2">
        <v>0</v>
      </c>
      <c r="H90">
        <f t="shared" si="12"/>
        <v>0.7811021335169276</v>
      </c>
      <c r="I90">
        <f t="shared" si="13"/>
        <v>0.766744751757596</v>
      </c>
      <c r="J90">
        <f t="shared" si="14"/>
        <v>0.48187352736614514</v>
      </c>
      <c r="K90">
        <f t="shared" si="15"/>
        <v>0.46798857705363345</v>
      </c>
      <c r="L90" s="9">
        <f t="shared" si="16"/>
        <v>0.6345195413348285</v>
      </c>
      <c r="M90" s="9">
        <f t="shared" si="17"/>
        <v>0.4897710599299715</v>
      </c>
      <c r="N90" s="9">
        <f t="shared" si="18"/>
        <v>1.9563564502241555</v>
      </c>
      <c r="O90" s="2">
        <f t="shared" si="19"/>
        <v>7933067.178167</v>
      </c>
      <c r="P90" s="2">
        <f t="shared" si="20"/>
        <v>39.38435884882437</v>
      </c>
      <c r="Q90" s="2">
        <f t="shared" si="21"/>
        <v>0.4749019459022926</v>
      </c>
      <c r="R90" s="2">
        <f t="shared" si="22"/>
        <v>7779388.161992148</v>
      </c>
      <c r="S90" s="2">
        <f t="shared" si="23"/>
        <v>504195.2389003297</v>
      </c>
      <c r="T90" t="s">
        <v>4</v>
      </c>
    </row>
    <row r="91" spans="12:19" ht="12.75">
      <c r="L91" s="9"/>
      <c r="M91" s="9"/>
      <c r="N91" s="9"/>
      <c r="O91" s="2"/>
      <c r="P91" s="2"/>
      <c r="Q91" s="2"/>
      <c r="R91" s="2"/>
      <c r="S91" s="2"/>
    </row>
    <row r="92" spans="1:20" ht="12.75">
      <c r="A92" s="1" t="s">
        <v>40</v>
      </c>
      <c r="L92" s="9"/>
      <c r="M92" s="9"/>
      <c r="N92" s="9"/>
      <c r="O92" s="2"/>
      <c r="P92" s="2"/>
      <c r="Q92" s="2"/>
      <c r="R92" s="2"/>
      <c r="S92" s="2"/>
      <c r="T92" s="1" t="s">
        <v>40</v>
      </c>
    </row>
    <row r="93" spans="1:20" ht="12.75">
      <c r="A93" t="s">
        <v>3</v>
      </c>
      <c r="B93" s="2">
        <v>35.34</v>
      </c>
      <c r="C93" s="2">
        <v>36.46</v>
      </c>
      <c r="D93" s="2">
        <v>98</v>
      </c>
      <c r="E93" s="2">
        <v>35</v>
      </c>
      <c r="F93" s="2">
        <v>2000000</v>
      </c>
      <c r="G93" s="2">
        <v>0</v>
      </c>
      <c r="H93">
        <f t="shared" si="12"/>
        <v>0.8143722589412823</v>
      </c>
      <c r="I93">
        <f t="shared" si="13"/>
        <v>0.8020528191183874</v>
      </c>
      <c r="J93">
        <f t="shared" si="14"/>
        <v>0.516328297714907</v>
      </c>
      <c r="K93">
        <f t="shared" si="15"/>
        <v>0.5031626341611716</v>
      </c>
      <c r="L93" s="9">
        <f t="shared" si="16"/>
        <v>0.5901470766967987</v>
      </c>
      <c r="M93" s="9">
        <f t="shared" si="17"/>
        <v>0.5225935087470535</v>
      </c>
      <c r="N93" s="9">
        <f t="shared" si="18"/>
        <v>2.038349427831344</v>
      </c>
      <c r="O93" s="2">
        <f t="shared" si="19"/>
        <v>8864464.79845394</v>
      </c>
      <c r="P93" s="2">
        <f t="shared" si="20"/>
        <v>36.1674459036227</v>
      </c>
      <c r="Q93" s="2">
        <f t="shared" si="21"/>
        <v>0.50971982920236</v>
      </c>
      <c r="R93" s="2">
        <f t="shared" si="22"/>
        <v>8734936.700426865</v>
      </c>
      <c r="S93" s="2">
        <f t="shared" si="23"/>
        <v>424960.10161049425</v>
      </c>
      <c r="T93" t="s">
        <v>3</v>
      </c>
    </row>
    <row r="94" spans="1:20" ht="12.75">
      <c r="A94" t="s">
        <v>4</v>
      </c>
      <c r="B94" s="2">
        <v>33.56</v>
      </c>
      <c r="C94" s="2">
        <v>35.14</v>
      </c>
      <c r="D94" s="2">
        <v>98</v>
      </c>
      <c r="E94" s="2">
        <v>33.2</v>
      </c>
      <c r="F94" s="2">
        <v>2000000</v>
      </c>
      <c r="G94" s="2">
        <v>0</v>
      </c>
      <c r="H94">
        <f t="shared" si="12"/>
        <v>0.8305640530715958</v>
      </c>
      <c r="I94">
        <f t="shared" si="13"/>
        <v>0.8177310011781656</v>
      </c>
      <c r="J94">
        <f t="shared" si="14"/>
        <v>0.5344730055380329</v>
      </c>
      <c r="K94">
        <f t="shared" si="15"/>
        <v>0.5200099206379181</v>
      </c>
      <c r="L94" s="9">
        <f t="shared" si="16"/>
        <v>0.5676166824227811</v>
      </c>
      <c r="M94" s="9">
        <f t="shared" si="17"/>
        <v>0.5412058181797734</v>
      </c>
      <c r="N94" s="9">
        <f t="shared" si="18"/>
        <v>2.0881026696395915</v>
      </c>
      <c r="O94" s="2">
        <f t="shared" si="19"/>
        <v>9399451.253472498</v>
      </c>
      <c r="P94" s="2">
        <f t="shared" si="20"/>
        <v>34.58419643032828</v>
      </c>
      <c r="Q94" s="2">
        <f t="shared" si="21"/>
        <v>0.5272108064791788</v>
      </c>
      <c r="R94" s="2">
        <f t="shared" si="22"/>
        <v>9260705.435068073</v>
      </c>
      <c r="S94" s="2">
        <f t="shared" si="23"/>
        <v>455201.9058818508</v>
      </c>
      <c r="T94" t="s">
        <v>4</v>
      </c>
    </row>
    <row r="95" spans="12:19" ht="12.75">
      <c r="L95" s="9"/>
      <c r="M95" s="9"/>
      <c r="N95" s="9"/>
      <c r="O95" s="2"/>
      <c r="P95" s="2"/>
      <c r="Q95" s="2"/>
      <c r="R95" s="2"/>
      <c r="S95" s="2"/>
    </row>
    <row r="96" spans="1:20" ht="12.75">
      <c r="A96" s="1" t="s">
        <v>41</v>
      </c>
      <c r="L96" s="9"/>
      <c r="M96" s="9"/>
      <c r="N96" s="9"/>
      <c r="O96" s="2"/>
      <c r="P96" s="2"/>
      <c r="Q96" s="2"/>
      <c r="R96" s="2"/>
      <c r="S96" s="2"/>
      <c r="T96" s="1" t="s">
        <v>41</v>
      </c>
    </row>
    <row r="97" spans="1:20" ht="12.75">
      <c r="A97" t="s">
        <v>3</v>
      </c>
      <c r="B97" s="2">
        <v>44.2</v>
      </c>
      <c r="C97" s="2">
        <v>46</v>
      </c>
      <c r="D97" s="2">
        <v>120.3</v>
      </c>
      <c r="E97" s="2">
        <v>43.4</v>
      </c>
      <c r="F97" s="2">
        <v>2000000</v>
      </c>
      <c r="G97" s="2">
        <v>0</v>
      </c>
      <c r="H97">
        <f t="shared" si="12"/>
        <v>0.7164714481897764</v>
      </c>
      <c r="I97">
        <f t="shared" si="13"/>
        <v>0.6958780754754573</v>
      </c>
      <c r="J97">
        <f t="shared" si="14"/>
        <v>0.42304457992288125</v>
      </c>
      <c r="K97">
        <f t="shared" si="15"/>
        <v>0.40600052723242386</v>
      </c>
      <c r="L97" s="9">
        <f t="shared" si="16"/>
        <v>0.7091860225721429</v>
      </c>
      <c r="M97" s="9">
        <f t="shared" si="17"/>
        <v>0.4299187658967312</v>
      </c>
      <c r="N97" s="9">
        <f t="shared" si="18"/>
        <v>1.8595182775657155</v>
      </c>
      <c r="O97" s="2">
        <f t="shared" si="19"/>
        <v>6517811.277835949</v>
      </c>
      <c r="P97" s="2">
        <f t="shared" si="20"/>
        <v>45.168726424164404</v>
      </c>
      <c r="Q97" s="2">
        <f t="shared" si="21"/>
        <v>0.41447664259891764</v>
      </c>
      <c r="R97" s="2">
        <f t="shared" si="22"/>
        <v>6350901.986930208</v>
      </c>
      <c r="S97" s="2">
        <f t="shared" si="23"/>
        <v>547601.5652465854</v>
      </c>
      <c r="T97" t="s">
        <v>3</v>
      </c>
    </row>
    <row r="98" spans="1:20" ht="12.75">
      <c r="A98" t="s">
        <v>4</v>
      </c>
      <c r="B98" s="2">
        <v>42.2</v>
      </c>
      <c r="C98" s="2">
        <v>44</v>
      </c>
      <c r="D98" s="2">
        <v>120.3</v>
      </c>
      <c r="E98" s="2">
        <v>41.4</v>
      </c>
      <c r="F98" s="2">
        <v>2000000</v>
      </c>
      <c r="G98" s="2">
        <v>0</v>
      </c>
      <c r="H98">
        <f t="shared" si="12"/>
        <v>0.7403766887314779</v>
      </c>
      <c r="I98">
        <f t="shared" si="13"/>
        <v>0.7205174464735646</v>
      </c>
      <c r="J98">
        <f t="shared" si="14"/>
        <v>0.44376797031135223</v>
      </c>
      <c r="K98">
        <f t="shared" si="15"/>
        <v>0.4264775456502487</v>
      </c>
      <c r="L98" s="9">
        <f t="shared" si="16"/>
        <v>0.6841473668796676</v>
      </c>
      <c r="M98" s="9">
        <f t="shared" si="17"/>
        <v>0.45074443247813</v>
      </c>
      <c r="N98" s="9">
        <f t="shared" si="18"/>
        <v>1.8866893677678311</v>
      </c>
      <c r="O98" s="2">
        <f t="shared" si="19"/>
        <v>6976479.873191007</v>
      </c>
      <c r="P98" s="2">
        <f t="shared" si="20"/>
        <v>43.168589227669074</v>
      </c>
      <c r="Q98" s="2">
        <f t="shared" si="21"/>
        <v>0.43507632250997363</v>
      </c>
      <c r="R98" s="2">
        <f t="shared" si="22"/>
        <v>6809645.043358388</v>
      </c>
      <c r="S98" s="2">
        <f t="shared" si="23"/>
        <v>547357.270875851</v>
      </c>
      <c r="T98" t="s">
        <v>4</v>
      </c>
    </row>
    <row r="99" spans="12:19" ht="12.75">
      <c r="L99" s="9"/>
      <c r="M99" s="9"/>
      <c r="N99" s="9"/>
      <c r="O99" s="2"/>
      <c r="P99" s="2"/>
      <c r="Q99" s="2"/>
      <c r="R99" s="2"/>
      <c r="S99" s="2"/>
    </row>
    <row r="100" spans="1:20" ht="12.75">
      <c r="A100" s="1" t="s">
        <v>42</v>
      </c>
      <c r="L100" s="9"/>
      <c r="M100" s="9"/>
      <c r="N100" s="9"/>
      <c r="O100" s="2"/>
      <c r="P100" s="2"/>
      <c r="Q100" s="2"/>
      <c r="R100" s="2"/>
      <c r="S100" s="2"/>
      <c r="T100" s="1" t="s">
        <v>42</v>
      </c>
    </row>
    <row r="101" spans="1:20" ht="12.75">
      <c r="A101" t="s">
        <v>3</v>
      </c>
      <c r="B101" s="2">
        <v>40.53</v>
      </c>
      <c r="C101" s="2">
        <v>41.57</v>
      </c>
      <c r="D101" s="2">
        <v>77.45</v>
      </c>
      <c r="E101" s="2">
        <v>40.1</v>
      </c>
      <c r="F101" s="2">
        <v>2000000</v>
      </c>
      <c r="G101" s="2">
        <v>0</v>
      </c>
      <c r="H101">
        <f t="shared" si="12"/>
        <v>0.7571424250742543</v>
      </c>
      <c r="I101">
        <f t="shared" si="13"/>
        <v>0.7448558038258062</v>
      </c>
      <c r="J101">
        <f t="shared" si="14"/>
        <v>0.4589872659302391</v>
      </c>
      <c r="K101">
        <f t="shared" si="15"/>
        <v>0.4477751347724683</v>
      </c>
      <c r="L101" s="9">
        <f t="shared" si="16"/>
        <v>0.661539737496369</v>
      </c>
      <c r="M101" s="9">
        <f t="shared" si="17"/>
        <v>0.4665726244981419</v>
      </c>
      <c r="N101" s="9">
        <f t="shared" si="18"/>
        <v>1.9158167376320099</v>
      </c>
      <c r="O101" s="2">
        <f t="shared" si="19"/>
        <v>7379542.904834519</v>
      </c>
      <c r="P101" s="2">
        <f t="shared" si="20"/>
        <v>41.41740790573726</v>
      </c>
      <c r="Q101" s="2">
        <f t="shared" si="21"/>
        <v>0.453361941177205</v>
      </c>
      <c r="R101" s="2">
        <f t="shared" si="22"/>
        <v>7240645.528847647</v>
      </c>
      <c r="S101" s="2">
        <f t="shared" si="23"/>
        <v>455699.1410502633</v>
      </c>
      <c r="T101" t="s">
        <v>3</v>
      </c>
    </row>
    <row r="102" spans="1:20" ht="12.75">
      <c r="A102" t="s">
        <v>4</v>
      </c>
      <c r="B102" s="2">
        <v>39.56</v>
      </c>
      <c r="C102" s="2">
        <v>40.58</v>
      </c>
      <c r="D102" s="2">
        <v>77.45</v>
      </c>
      <c r="E102" s="2">
        <v>39.2</v>
      </c>
      <c r="F102" s="2">
        <v>2000000</v>
      </c>
      <c r="G102" s="2">
        <v>0</v>
      </c>
      <c r="H102">
        <f t="shared" si="12"/>
        <v>0.767863333595917</v>
      </c>
      <c r="I102">
        <f t="shared" si="13"/>
        <v>0.7561919746352608</v>
      </c>
      <c r="J102">
        <f t="shared" si="14"/>
        <v>0.469051523526309</v>
      </c>
      <c r="K102">
        <f t="shared" si="15"/>
        <v>0.4581079988208384</v>
      </c>
      <c r="L102" s="9">
        <f t="shared" si="16"/>
        <v>0.6487931552399917</v>
      </c>
      <c r="M102" s="9">
        <f t="shared" si="17"/>
        <v>0.4754470335121552</v>
      </c>
      <c r="N102" s="9">
        <f t="shared" si="18"/>
        <v>1.9341383077963459</v>
      </c>
      <c r="O102" s="2">
        <f t="shared" si="19"/>
        <v>7615390.459970226</v>
      </c>
      <c r="P102" s="2">
        <f t="shared" si="20"/>
        <v>40.4506726323523</v>
      </c>
      <c r="Q102" s="2">
        <f t="shared" si="21"/>
        <v>0.4635615439696127</v>
      </c>
      <c r="R102" s="2">
        <f t="shared" si="22"/>
        <v>7491328.863469136</v>
      </c>
      <c r="S102" s="2">
        <f t="shared" si="23"/>
        <v>407025.4211873249</v>
      </c>
      <c r="T102" t="s">
        <v>4</v>
      </c>
    </row>
    <row r="103" spans="12:19" ht="12.75">
      <c r="L103" s="9"/>
      <c r="M103" s="9"/>
      <c r="N103" s="9"/>
      <c r="O103" s="2"/>
      <c r="P103" s="2"/>
      <c r="Q103" s="2"/>
      <c r="R103" s="2"/>
      <c r="S103" s="2"/>
    </row>
    <row r="104" spans="1:20" ht="12.75">
      <c r="A104" s="1" t="s">
        <v>43</v>
      </c>
      <c r="L104" s="9"/>
      <c r="M104" s="9"/>
      <c r="N104" s="9"/>
      <c r="O104" s="2"/>
      <c r="P104" s="2">
        <f t="shared" si="20"/>
        <v>0</v>
      </c>
      <c r="Q104" s="2">
        <f t="shared" si="21"/>
        <v>0.9999999999999999</v>
      </c>
      <c r="R104" s="2">
        <f t="shared" si="22"/>
        <v>0</v>
      </c>
      <c r="S104" s="2">
        <f t="shared" si="23"/>
        <v>0</v>
      </c>
      <c r="T104" s="1" t="s">
        <v>43</v>
      </c>
    </row>
    <row r="105" spans="1:20" ht="12.75">
      <c r="A105" s="3">
        <v>1</v>
      </c>
      <c r="B105" s="2">
        <v>18.02</v>
      </c>
      <c r="C105" s="2">
        <v>18.26</v>
      </c>
      <c r="D105" s="2">
        <v>66.26</v>
      </c>
      <c r="E105" s="2">
        <v>17.5</v>
      </c>
      <c r="F105" s="2">
        <v>500000</v>
      </c>
      <c r="G105" s="2">
        <v>0</v>
      </c>
      <c r="H105">
        <f t="shared" si="12"/>
        <v>0.9511851273154697</v>
      </c>
      <c r="I105">
        <f t="shared" si="13"/>
        <v>0.9490133913734777</v>
      </c>
      <c r="J105">
        <f t="shared" si="14"/>
        <v>0.7276215589307193</v>
      </c>
      <c r="K105">
        <f t="shared" si="15"/>
        <v>0.7223252999122156</v>
      </c>
      <c r="L105" s="9">
        <f t="shared" si="16"/>
        <v>0.31288818947341734</v>
      </c>
      <c r="M105" s="9">
        <f t="shared" si="17"/>
        <v>0.7302796157000534</v>
      </c>
      <c r="N105" s="9">
        <f t="shared" si="18"/>
        <v>3.358025584179965</v>
      </c>
      <c r="O105" s="2">
        <f t="shared" si="19"/>
        <v>19411984.94304833</v>
      </c>
      <c r="P105" s="2">
        <f t="shared" si="20"/>
        <v>18.233372695950678</v>
      </c>
      <c r="Q105" s="2">
        <f t="shared" si="21"/>
        <v>0.7249696129537517</v>
      </c>
      <c r="R105" s="2">
        <f t="shared" si="22"/>
        <v>19367710.544372268</v>
      </c>
      <c r="S105" s="2">
        <f t="shared" si="23"/>
        <v>145256.9229897073</v>
      </c>
      <c r="T105" s="3">
        <v>1</v>
      </c>
    </row>
    <row r="106" spans="1:20" ht="12.75">
      <c r="A106" t="s">
        <v>44</v>
      </c>
      <c r="B106" s="2">
        <v>18.02</v>
      </c>
      <c r="C106" s="2">
        <v>18.26</v>
      </c>
      <c r="D106" s="2">
        <v>66.26</v>
      </c>
      <c r="E106" s="2">
        <v>17.5</v>
      </c>
      <c r="F106" s="2">
        <v>500000</v>
      </c>
      <c r="G106" s="2">
        <v>100000</v>
      </c>
      <c r="H106">
        <f t="shared" si="12"/>
        <v>0.9511851273154697</v>
      </c>
      <c r="I106">
        <f t="shared" si="13"/>
        <v>0.9490133913734777</v>
      </c>
      <c r="J106">
        <f t="shared" si="14"/>
        <v>0.7276215589307193</v>
      </c>
      <c r="K106">
        <f t="shared" si="15"/>
        <v>0.7223252999122156</v>
      </c>
      <c r="L106" s="9">
        <f t="shared" si="16"/>
        <v>0.31288818947341734</v>
      </c>
      <c r="M106" s="9">
        <f t="shared" si="17"/>
        <v>0.7302796157000534</v>
      </c>
      <c r="N106" s="9">
        <f t="shared" si="18"/>
        <v>3.358025584179965</v>
      </c>
      <c r="O106" s="2">
        <f t="shared" si="19"/>
        <v>19411984.94304833</v>
      </c>
      <c r="P106" s="2">
        <f t="shared" si="20"/>
        <v>18.233372695950678</v>
      </c>
      <c r="Q106" s="2">
        <f t="shared" si="21"/>
        <v>0.7249696129537517</v>
      </c>
      <c r="R106" s="2">
        <f t="shared" si="22"/>
        <v>19367710.544372268</v>
      </c>
      <c r="S106" s="2">
        <f t="shared" si="23"/>
        <v>245256.9229897073</v>
      </c>
      <c r="T106" t="s">
        <v>44</v>
      </c>
    </row>
    <row r="107" spans="12:19" ht="12.75">
      <c r="L107" s="9"/>
      <c r="M107" s="9"/>
      <c r="N107" s="9"/>
      <c r="O107" s="2"/>
      <c r="P107" s="2"/>
      <c r="Q107" s="2"/>
      <c r="R107" s="2"/>
      <c r="S107" s="2"/>
    </row>
    <row r="108" spans="1:20" ht="12.75">
      <c r="A108" s="1" t="s">
        <v>45</v>
      </c>
      <c r="B108" s="2">
        <v>-14.16</v>
      </c>
      <c r="C108" s="2">
        <v>-14.16</v>
      </c>
      <c r="D108" s="2">
        <v>170</v>
      </c>
      <c r="F108" s="2">
        <v>500000</v>
      </c>
      <c r="G108" s="2">
        <v>0</v>
      </c>
      <c r="H108">
        <f t="shared" si="12"/>
        <v>0.9693585197387515</v>
      </c>
      <c r="I108">
        <f t="shared" si="13"/>
        <v>0.9693585197387515</v>
      </c>
      <c r="J108">
        <f t="shared" si="14"/>
        <v>1.2839557051012918</v>
      </c>
      <c r="K108">
        <f t="shared" si="15"/>
        <v>1.2839557051012918</v>
      </c>
      <c r="L108" s="9">
        <f>SIN(todms(B108))</f>
        <v>-0.6068258628735418</v>
      </c>
      <c r="M108" s="9">
        <f t="shared" si="17"/>
        <v>0.9999999999999999</v>
      </c>
      <c r="N108" s="9">
        <f t="shared" si="18"/>
        <v>-1.8590510770967286</v>
      </c>
      <c r="O108" s="2">
        <v>-82000000</v>
      </c>
      <c r="P108" s="2">
        <f t="shared" si="20"/>
        <v>-37.36034436068393</v>
      </c>
      <c r="Q108" s="2"/>
      <c r="R108" s="2"/>
      <c r="S108" s="2"/>
      <c r="T108" s="1" t="s">
        <v>45</v>
      </c>
    </row>
    <row r="109" spans="12:19" ht="12.75">
      <c r="L109" s="9"/>
      <c r="M109" s="9"/>
      <c r="N109" s="9"/>
      <c r="O109" s="2"/>
      <c r="P109" s="2"/>
      <c r="Q109" s="2"/>
      <c r="R109" s="2"/>
      <c r="S109" s="2"/>
    </row>
    <row r="110" spans="1:20" ht="12.75">
      <c r="A110" s="1" t="s">
        <v>46</v>
      </c>
      <c r="L110" s="9"/>
      <c r="M110" s="9"/>
      <c r="N110" s="9"/>
      <c r="O110" s="2"/>
      <c r="P110" s="2"/>
      <c r="Q110" s="2"/>
      <c r="R110" s="2"/>
      <c r="S110" s="2"/>
      <c r="T110" s="1" t="s">
        <v>46</v>
      </c>
    </row>
    <row r="111" spans="1:20" ht="12.75">
      <c r="A111" t="s">
        <v>3</v>
      </c>
      <c r="B111" s="2">
        <v>33.46</v>
      </c>
      <c r="C111" s="2">
        <v>34.58</v>
      </c>
      <c r="D111" s="2">
        <v>81</v>
      </c>
      <c r="E111" s="2">
        <v>33</v>
      </c>
      <c r="F111" s="2">
        <v>2000000</v>
      </c>
      <c r="G111" s="2">
        <v>0</v>
      </c>
      <c r="H111">
        <f t="shared" si="12"/>
        <v>0.8321784754492733</v>
      </c>
      <c r="I111">
        <f t="shared" si="13"/>
        <v>0.8203980284807386</v>
      </c>
      <c r="J111">
        <f t="shared" si="14"/>
        <v>0.5363395309754869</v>
      </c>
      <c r="K111">
        <f t="shared" si="15"/>
        <v>0.5229630291863393</v>
      </c>
      <c r="L111" s="9">
        <f t="shared" si="16"/>
        <v>0.5644973868685367</v>
      </c>
      <c r="M111" s="9">
        <f t="shared" si="17"/>
        <v>0.544962334802779</v>
      </c>
      <c r="N111" s="9">
        <f t="shared" si="18"/>
        <v>2.095487449352857</v>
      </c>
      <c r="O111" s="2">
        <f t="shared" si="19"/>
        <v>9487749.370742569</v>
      </c>
      <c r="P111" s="2">
        <f t="shared" si="20"/>
        <v>34.36739623424167</v>
      </c>
      <c r="Q111" s="2">
        <f t="shared" si="21"/>
        <v>0.5296250882055984</v>
      </c>
      <c r="R111" s="2">
        <f t="shared" si="22"/>
        <v>9336080.772641342</v>
      </c>
      <c r="S111" s="2">
        <f t="shared" si="23"/>
        <v>497599.392270441</v>
      </c>
      <c r="T111" t="s">
        <v>3</v>
      </c>
    </row>
    <row r="112" spans="1:20" ht="12.75">
      <c r="A112" t="s">
        <v>4</v>
      </c>
      <c r="B112" s="2">
        <v>32.2</v>
      </c>
      <c r="C112" s="2">
        <v>33.4</v>
      </c>
      <c r="D112" s="2">
        <v>81</v>
      </c>
      <c r="E112" s="2">
        <v>31.5</v>
      </c>
      <c r="F112" s="2">
        <v>2000000</v>
      </c>
      <c r="G112" s="2">
        <v>0</v>
      </c>
      <c r="H112">
        <f t="shared" si="12"/>
        <v>0.8457700160268615</v>
      </c>
      <c r="I112">
        <f t="shared" si="13"/>
        <v>0.8331437444670023</v>
      </c>
      <c r="J112">
        <f t="shared" si="14"/>
        <v>0.5525103601712417</v>
      </c>
      <c r="K112">
        <f t="shared" si="15"/>
        <v>0.5374608078499746</v>
      </c>
      <c r="L112" s="9">
        <f t="shared" si="16"/>
        <v>0.5446515618414315</v>
      </c>
      <c r="M112" s="9">
        <f t="shared" si="17"/>
        <v>0.5582024694803723</v>
      </c>
      <c r="N112" s="9">
        <f t="shared" si="18"/>
        <v>2.1452021358955538</v>
      </c>
      <c r="O112" s="2">
        <f t="shared" si="19"/>
        <v>9959935.426171307</v>
      </c>
      <c r="P112" s="2">
        <f t="shared" si="20"/>
        <v>33.00085580416451</v>
      </c>
      <c r="Q112" s="2">
        <f t="shared" si="21"/>
        <v>0.5449526754431339</v>
      </c>
      <c r="R112" s="2">
        <f t="shared" si="22"/>
        <v>9830467.967869068</v>
      </c>
      <c r="S112" s="2">
        <f t="shared" si="23"/>
        <v>424761.152779929</v>
      </c>
      <c r="T112" t="s">
        <v>4</v>
      </c>
    </row>
    <row r="113" spans="12:19" ht="12.75">
      <c r="L113" s="9"/>
      <c r="M113" s="9"/>
      <c r="N113" s="9"/>
      <c r="O113" s="2"/>
      <c r="P113" s="2"/>
      <c r="Q113" s="2"/>
      <c r="R113" s="2"/>
      <c r="S113" s="2"/>
    </row>
    <row r="114" spans="1:20" ht="12.75">
      <c r="A114" s="1" t="s">
        <v>47</v>
      </c>
      <c r="L114" s="9"/>
      <c r="M114" s="9"/>
      <c r="N114" s="9"/>
      <c r="O114" s="2"/>
      <c r="P114" s="2"/>
      <c r="Q114" s="2"/>
      <c r="R114" s="2"/>
      <c r="S114" s="2"/>
      <c r="T114" s="1" t="s">
        <v>47</v>
      </c>
    </row>
    <row r="115" spans="1:20" ht="12.75">
      <c r="A115" t="s">
        <v>3</v>
      </c>
      <c r="B115" s="2">
        <v>44.25</v>
      </c>
      <c r="C115" s="2">
        <v>45.41</v>
      </c>
      <c r="D115" s="2">
        <v>100</v>
      </c>
      <c r="E115" s="2">
        <v>43.5</v>
      </c>
      <c r="F115" s="2">
        <v>2000000</v>
      </c>
      <c r="G115" s="2">
        <v>0</v>
      </c>
      <c r="H115">
        <f t="shared" si="12"/>
        <v>0.7154561299175165</v>
      </c>
      <c r="I115">
        <f t="shared" si="13"/>
        <v>0.6998369790415208</v>
      </c>
      <c r="J115">
        <f t="shared" si="14"/>
        <v>0.42218761797536053</v>
      </c>
      <c r="K115">
        <f t="shared" si="15"/>
        <v>0.4092236857020423</v>
      </c>
      <c r="L115" s="9">
        <f t="shared" si="16"/>
        <v>0.707738189721603</v>
      </c>
      <c r="M115" s="9">
        <f t="shared" si="17"/>
        <v>0.4281971184537276</v>
      </c>
      <c r="N115" s="9">
        <f t="shared" si="18"/>
        <v>1.8610345816216836</v>
      </c>
      <c r="O115" s="2">
        <f t="shared" si="19"/>
        <v>6512582.229842134</v>
      </c>
      <c r="P115" s="2">
        <f t="shared" si="20"/>
        <v>45.05118493629155</v>
      </c>
      <c r="Q115" s="2">
        <f t="shared" si="21"/>
        <v>0.4156791187744591</v>
      </c>
      <c r="R115" s="2">
        <f t="shared" si="22"/>
        <v>6377252.856648424</v>
      </c>
      <c r="S115" s="2">
        <f t="shared" si="23"/>
        <v>443993.1185530306</v>
      </c>
      <c r="T115" t="s">
        <v>3</v>
      </c>
    </row>
    <row r="116" spans="1:20" ht="12.75">
      <c r="A116" t="s">
        <v>4</v>
      </c>
      <c r="B116" s="2">
        <v>42.5</v>
      </c>
      <c r="C116" s="2">
        <v>44.24</v>
      </c>
      <c r="D116" s="2">
        <v>100.2</v>
      </c>
      <c r="E116" s="2">
        <v>42.2</v>
      </c>
      <c r="F116" s="2">
        <v>2000000</v>
      </c>
      <c r="G116" s="2">
        <v>0</v>
      </c>
      <c r="H116">
        <f t="shared" si="12"/>
        <v>0.7344843164195555</v>
      </c>
      <c r="I116">
        <f t="shared" si="13"/>
        <v>0.7156593155018431</v>
      </c>
      <c r="J116">
        <f t="shared" si="14"/>
        <v>0.43855851167875576</v>
      </c>
      <c r="K116">
        <f t="shared" si="15"/>
        <v>0.42235896959608743</v>
      </c>
      <c r="L116" s="9">
        <f t="shared" si="16"/>
        <v>0.6898519681829778</v>
      </c>
      <c r="M116" s="9">
        <f t="shared" si="17"/>
        <v>0.44376797031135223</v>
      </c>
      <c r="N116" s="9">
        <f t="shared" si="18"/>
        <v>1.880072608426778</v>
      </c>
      <c r="O116" s="2">
        <f t="shared" si="19"/>
        <v>6846412.007464109</v>
      </c>
      <c r="P116" s="2">
        <f t="shared" si="20"/>
        <v>43.61839200959265</v>
      </c>
      <c r="Q116" s="2">
        <f t="shared" si="21"/>
        <v>0.43041782659853395</v>
      </c>
      <c r="R116" s="2">
        <f t="shared" si="22"/>
        <v>6703655.06313628</v>
      </c>
      <c r="S116" s="2">
        <f t="shared" si="23"/>
        <v>468361.7415155536</v>
      </c>
      <c r="T116" t="s">
        <v>4</v>
      </c>
    </row>
    <row r="117" spans="12:19" ht="12.75">
      <c r="L117" s="9"/>
      <c r="M117" s="9"/>
      <c r="N117" s="9"/>
      <c r="O117" s="2"/>
      <c r="P117" s="2"/>
      <c r="Q117" s="2"/>
      <c r="R117" s="2"/>
      <c r="S117" s="2"/>
    </row>
    <row r="118" spans="1:20" ht="12.75">
      <c r="A118" s="1" t="s">
        <v>48</v>
      </c>
      <c r="B118" s="2">
        <v>35.15</v>
      </c>
      <c r="C118" s="2">
        <v>36.25</v>
      </c>
      <c r="D118" s="2">
        <v>86</v>
      </c>
      <c r="E118" s="2">
        <v>34.4</v>
      </c>
      <c r="F118" s="2">
        <v>2000000</v>
      </c>
      <c r="G118" s="2">
        <v>100000</v>
      </c>
      <c r="H118">
        <f t="shared" si="12"/>
        <v>0.81756372194684</v>
      </c>
      <c r="I118">
        <f t="shared" si="13"/>
        <v>0.8056826712985378</v>
      </c>
      <c r="J118">
        <f t="shared" si="14"/>
        <v>0.5198255826110365</v>
      </c>
      <c r="K118">
        <f t="shared" si="15"/>
        <v>0.5069885345468647</v>
      </c>
      <c r="L118" s="9">
        <f t="shared" si="16"/>
        <v>0.5854397305911149</v>
      </c>
      <c r="M118" s="9">
        <f t="shared" si="17"/>
        <v>0.5262936514744941</v>
      </c>
      <c r="N118" s="9">
        <f t="shared" si="18"/>
        <v>2.0482720614950822</v>
      </c>
      <c r="O118" s="2">
        <f t="shared" si="19"/>
        <v>8971851.621660791</v>
      </c>
      <c r="P118" s="2">
        <f t="shared" si="20"/>
        <v>35.83406103790557</v>
      </c>
      <c r="Q118" s="2">
        <f t="shared" si="21"/>
        <v>0.5133827336169992</v>
      </c>
      <c r="R118" s="2">
        <f t="shared" si="22"/>
        <v>8842336.09708995</v>
      </c>
      <c r="S118" s="2">
        <f t="shared" si="23"/>
        <v>524918.8501961686</v>
      </c>
      <c r="T118" s="1" t="s">
        <v>48</v>
      </c>
    </row>
    <row r="119" spans="12:19" ht="12.75">
      <c r="L119" s="9"/>
      <c r="M119" s="9"/>
      <c r="N119" s="9"/>
      <c r="O119" s="2"/>
      <c r="P119" s="2"/>
      <c r="Q119" s="2"/>
      <c r="R119" s="2"/>
      <c r="S119" s="2"/>
    </row>
    <row r="120" spans="1:20" ht="12.75">
      <c r="A120" s="1" t="s">
        <v>49</v>
      </c>
      <c r="L120" s="9"/>
      <c r="M120" s="9"/>
      <c r="N120" s="9"/>
      <c r="O120" s="2"/>
      <c r="P120" s="2"/>
      <c r="Q120" s="2"/>
      <c r="R120" s="2"/>
      <c r="S120" s="2"/>
      <c r="T120" s="1" t="s">
        <v>49</v>
      </c>
    </row>
    <row r="121" spans="1:20" ht="12.75">
      <c r="A121" t="s">
        <v>3</v>
      </c>
      <c r="B121" s="2">
        <v>34.39</v>
      </c>
      <c r="C121" s="2">
        <v>36.11</v>
      </c>
      <c r="D121" s="2">
        <v>101.3</v>
      </c>
      <c r="E121" s="2">
        <v>34</v>
      </c>
      <c r="F121" s="2">
        <v>2000000</v>
      </c>
      <c r="G121" s="2">
        <v>0</v>
      </c>
      <c r="H121">
        <f t="shared" si="12"/>
        <v>0.8235419887763764</v>
      </c>
      <c r="I121">
        <f t="shared" si="13"/>
        <v>0.8080858324139909</v>
      </c>
      <c r="J121">
        <f t="shared" si="14"/>
        <v>0.5264789476155349</v>
      </c>
      <c r="K121">
        <f t="shared" si="15"/>
        <v>0.5095455380130315</v>
      </c>
      <c r="L121" s="9">
        <f t="shared" si="16"/>
        <v>0.579535867838181</v>
      </c>
      <c r="M121" s="9">
        <f t="shared" si="17"/>
        <v>0.533727186936608</v>
      </c>
      <c r="N121" s="9">
        <f t="shared" si="18"/>
        <v>2.060986396781126</v>
      </c>
      <c r="O121" s="2">
        <f t="shared" si="19"/>
        <v>9135776.427520862</v>
      </c>
      <c r="P121" s="2">
        <f t="shared" si="20"/>
        <v>35.41790467438867</v>
      </c>
      <c r="Q121" s="2">
        <f t="shared" si="21"/>
        <v>0.5179700202958737</v>
      </c>
      <c r="R121" s="2">
        <f t="shared" si="22"/>
        <v>8978483.244758217</v>
      </c>
      <c r="S121" s="2">
        <f t="shared" si="23"/>
        <v>516052.7171137784</v>
      </c>
      <c r="T121" t="s">
        <v>3</v>
      </c>
    </row>
    <row r="122" spans="1:20" ht="12.75">
      <c r="A122" t="s">
        <v>50</v>
      </c>
      <c r="B122" s="2">
        <v>32.08</v>
      </c>
      <c r="C122" s="2">
        <v>33.58</v>
      </c>
      <c r="D122" s="2">
        <v>97.3</v>
      </c>
      <c r="E122" s="2">
        <v>31.4</v>
      </c>
      <c r="F122" s="2">
        <v>2000000</v>
      </c>
      <c r="G122" s="2">
        <v>0</v>
      </c>
      <c r="H122">
        <f t="shared" si="12"/>
        <v>0.8476245744278899</v>
      </c>
      <c r="I122">
        <f t="shared" si="13"/>
        <v>0.8302403234416195</v>
      </c>
      <c r="J122">
        <f t="shared" si="14"/>
        <v>0.554783977727137</v>
      </c>
      <c r="K122">
        <f t="shared" si="15"/>
        <v>0.53410003981182</v>
      </c>
      <c r="L122" s="9">
        <f t="shared" si="16"/>
        <v>0.5453944199853444</v>
      </c>
      <c r="M122" s="9">
        <f t="shared" si="17"/>
        <v>0.5601058421445375</v>
      </c>
      <c r="N122" s="9">
        <f t="shared" si="18"/>
        <v>2.1431187735578763</v>
      </c>
      <c r="O122" s="2">
        <f t="shared" si="19"/>
        <v>9964436.141852377</v>
      </c>
      <c r="P122" s="2">
        <f t="shared" si="20"/>
        <v>33.05162103374568</v>
      </c>
      <c r="Q122" s="2">
        <f t="shared" si="21"/>
        <v>0.5443798312782957</v>
      </c>
      <c r="R122" s="2">
        <f t="shared" si="22"/>
        <v>9810863.84662506</v>
      </c>
      <c r="S122" s="2">
        <f t="shared" si="23"/>
        <v>503845.10525828967</v>
      </c>
      <c r="T122" t="s">
        <v>50</v>
      </c>
    </row>
    <row r="123" spans="1:20" ht="12.75">
      <c r="A123" t="s">
        <v>19</v>
      </c>
      <c r="B123" s="2">
        <v>30.07</v>
      </c>
      <c r="C123" s="2">
        <v>31.53</v>
      </c>
      <c r="D123" s="2">
        <v>100.2</v>
      </c>
      <c r="E123" s="2">
        <v>29.4</v>
      </c>
      <c r="F123" s="2">
        <v>2000000</v>
      </c>
      <c r="G123" s="2">
        <v>0</v>
      </c>
      <c r="H123">
        <f t="shared" si="12"/>
        <v>0.8657434781494211</v>
      </c>
      <c r="I123">
        <f t="shared" si="13"/>
        <v>0.8499282335318282</v>
      </c>
      <c r="J123">
        <f t="shared" si="14"/>
        <v>0.577954254671595</v>
      </c>
      <c r="K123">
        <f t="shared" si="15"/>
        <v>0.5576320456487432</v>
      </c>
      <c r="L123" s="9">
        <f t="shared" si="16"/>
        <v>0.51505888881656</v>
      </c>
      <c r="M123" s="9">
        <f t="shared" si="17"/>
        <v>0.5831868995278775</v>
      </c>
      <c r="N123" s="9">
        <f t="shared" si="18"/>
        <v>2.2293139275181124</v>
      </c>
      <c r="O123" s="2">
        <f t="shared" si="19"/>
        <v>10770776.227946294</v>
      </c>
      <c r="P123" s="2">
        <f t="shared" si="20"/>
        <v>31.00139127763857</v>
      </c>
      <c r="Q123" s="2">
        <f t="shared" si="21"/>
        <v>0.5677337546838098</v>
      </c>
      <c r="R123" s="2">
        <f t="shared" si="22"/>
        <v>10622820.64353903</v>
      </c>
      <c r="S123" s="2">
        <f t="shared" si="23"/>
        <v>485417.6131761665</v>
      </c>
      <c r="T123" t="s">
        <v>19</v>
      </c>
    </row>
    <row r="124" spans="1:20" ht="12.75">
      <c r="A124" t="s">
        <v>56</v>
      </c>
      <c r="B124" s="2">
        <v>28.23</v>
      </c>
      <c r="C124" s="2">
        <v>30.17</v>
      </c>
      <c r="D124" s="2">
        <v>99</v>
      </c>
      <c r="E124" s="2">
        <v>27.5</v>
      </c>
      <c r="F124" s="2">
        <v>2000000</v>
      </c>
      <c r="G124" s="2">
        <v>0</v>
      </c>
      <c r="H124">
        <f t="shared" si="12"/>
        <v>0.88046050016289</v>
      </c>
      <c r="I124">
        <f t="shared" si="13"/>
        <v>0.8642864154130757</v>
      </c>
      <c r="J124">
        <f t="shared" si="14"/>
        <v>0.5982395731818391</v>
      </c>
      <c r="K124">
        <f t="shared" si="15"/>
        <v>0.5760221266631878</v>
      </c>
      <c r="L124" s="9">
        <f t="shared" si="16"/>
        <v>0.48991263230492194</v>
      </c>
      <c r="M124" s="9">
        <f t="shared" si="17"/>
        <v>0.6047510093417906</v>
      </c>
      <c r="N124" s="9">
        <f t="shared" si="18"/>
        <v>2.3115480621873417</v>
      </c>
      <c r="O124" s="2">
        <f t="shared" si="19"/>
        <v>11523731.077891229</v>
      </c>
      <c r="P124" s="2">
        <f t="shared" si="20"/>
        <v>29.33483931233049</v>
      </c>
      <c r="Q124" s="2">
        <f t="shared" si="21"/>
        <v>0.5870604294284246</v>
      </c>
      <c r="R124" s="2">
        <f t="shared" si="22"/>
        <v>11357330.97924837</v>
      </c>
      <c r="S124" s="2">
        <f t="shared" si="23"/>
        <v>545930.9902974486</v>
      </c>
      <c r="T124" t="s">
        <v>56</v>
      </c>
    </row>
    <row r="125" spans="1:20" ht="12.75">
      <c r="A125" t="s">
        <v>4</v>
      </c>
      <c r="B125" s="2">
        <v>26.1</v>
      </c>
      <c r="C125" s="2">
        <v>27.5</v>
      </c>
      <c r="D125" s="2">
        <v>98.3</v>
      </c>
      <c r="E125" s="2">
        <v>25.4</v>
      </c>
      <c r="F125" s="2">
        <v>2000000</v>
      </c>
      <c r="G125" s="2">
        <v>0</v>
      </c>
      <c r="H125">
        <f t="shared" si="12"/>
        <v>0.8981063493612665</v>
      </c>
      <c r="I125">
        <f t="shared" si="13"/>
        <v>0.8849626352050047</v>
      </c>
      <c r="J125">
        <f t="shared" si="14"/>
        <v>0.6247115622650684</v>
      </c>
      <c r="K125">
        <f t="shared" si="15"/>
        <v>0.6047510093417906</v>
      </c>
      <c r="L125" s="9">
        <f t="shared" si="16"/>
        <v>0.454006853961471</v>
      </c>
      <c r="M125" s="9">
        <f t="shared" si="17"/>
        <v>0.6307687435380226</v>
      </c>
      <c r="N125" s="9">
        <f t="shared" si="18"/>
        <v>2.4492225249137274</v>
      </c>
      <c r="O125" s="2">
        <f t="shared" si="19"/>
        <v>12672622.467819827</v>
      </c>
      <c r="P125" s="2">
        <f t="shared" si="20"/>
        <v>27.00105165590799</v>
      </c>
      <c r="Q125" s="2">
        <f t="shared" si="21"/>
        <v>0.6146750506187564</v>
      </c>
      <c r="R125" s="2">
        <f t="shared" si="22"/>
        <v>12524790.23805655</v>
      </c>
      <c r="S125" s="2">
        <f t="shared" si="23"/>
        <v>485012.90714835085</v>
      </c>
      <c r="T125" t="s">
        <v>4</v>
      </c>
    </row>
    <row r="126" spans="12:19" ht="12.75">
      <c r="L126" s="9"/>
      <c r="M126" s="9"/>
      <c r="N126" s="9"/>
      <c r="O126" s="2"/>
      <c r="P126" s="2"/>
      <c r="Q126" s="2"/>
      <c r="R126" s="2"/>
      <c r="S126" s="2"/>
    </row>
    <row r="127" spans="1:20" ht="12.75">
      <c r="A127" s="1" t="s">
        <v>51</v>
      </c>
      <c r="L127" s="9"/>
      <c r="M127" s="9"/>
      <c r="N127" s="9"/>
      <c r="O127" s="2"/>
      <c r="P127" s="2"/>
      <c r="Q127" s="2"/>
      <c r="R127" s="2"/>
      <c r="S127" s="2"/>
      <c r="T127" s="1" t="s">
        <v>51</v>
      </c>
    </row>
    <row r="128" spans="1:20" ht="12.75">
      <c r="A128" t="s">
        <v>3</v>
      </c>
      <c r="B128" s="2">
        <v>40.43</v>
      </c>
      <c r="C128" s="2">
        <v>41.47</v>
      </c>
      <c r="D128" s="2">
        <v>111.3</v>
      </c>
      <c r="E128" s="2">
        <v>40.2</v>
      </c>
      <c r="F128" s="2">
        <v>2000000</v>
      </c>
      <c r="G128" s="2">
        <v>0</v>
      </c>
      <c r="H128">
        <f t="shared" si="12"/>
        <v>0.7590384959114705</v>
      </c>
      <c r="I128">
        <f t="shared" si="13"/>
        <v>0.746792802002835</v>
      </c>
      <c r="J128">
        <f t="shared" si="14"/>
        <v>0.4607475098524636</v>
      </c>
      <c r="K128">
        <f t="shared" si="15"/>
        <v>0.4495210059688639</v>
      </c>
      <c r="L128" s="9">
        <f t="shared" si="16"/>
        <v>0.6593554855082246</v>
      </c>
      <c r="M128" s="9">
        <f t="shared" si="17"/>
        <v>0.4648047794599087</v>
      </c>
      <c r="N128" s="9">
        <f t="shared" si="18"/>
        <v>1.9188529668777232</v>
      </c>
      <c r="O128" s="2">
        <f t="shared" si="19"/>
        <v>7385047.654263816</v>
      </c>
      <c r="P128" s="2">
        <f t="shared" si="20"/>
        <v>41.25073696110926</v>
      </c>
      <c r="Q128" s="2">
        <f t="shared" si="21"/>
        <v>0.45511497350723557</v>
      </c>
      <c r="R128" s="2">
        <f t="shared" si="22"/>
        <v>7283171.806059411</v>
      </c>
      <c r="S128" s="2">
        <f t="shared" si="23"/>
        <v>334237.6786506189</v>
      </c>
      <c r="T128" t="s">
        <v>3</v>
      </c>
    </row>
    <row r="129" spans="1:20" ht="12.75">
      <c r="A129" t="s">
        <v>19</v>
      </c>
      <c r="B129" s="2">
        <v>39.01</v>
      </c>
      <c r="C129" s="2">
        <v>40.39</v>
      </c>
      <c r="D129" s="2">
        <v>111.3</v>
      </c>
      <c r="E129" s="2">
        <v>38.2</v>
      </c>
      <c r="F129" s="2">
        <v>2000000</v>
      </c>
      <c r="G129" s="2">
        <v>0</v>
      </c>
      <c r="H129">
        <f t="shared" si="12"/>
        <v>0.7780071139789038</v>
      </c>
      <c r="I129">
        <f t="shared" si="13"/>
        <v>0.7597951182611357</v>
      </c>
      <c r="J129">
        <f t="shared" si="14"/>
        <v>0.4788348963082928</v>
      </c>
      <c r="K129">
        <f t="shared" si="15"/>
        <v>0.46145224782695504</v>
      </c>
      <c r="L129" s="9">
        <f t="shared" si="16"/>
        <v>0.6405786017566746</v>
      </c>
      <c r="M129" s="9">
        <f t="shared" si="17"/>
        <v>0.48617535769816667</v>
      </c>
      <c r="N129" s="9">
        <f t="shared" si="18"/>
        <v>1.9466025071220092</v>
      </c>
      <c r="O129" s="2">
        <f t="shared" si="19"/>
        <v>7822437.616506368</v>
      </c>
      <c r="P129" s="2">
        <f t="shared" si="20"/>
        <v>39.834977916678405</v>
      </c>
      <c r="Q129" s="2">
        <f t="shared" si="21"/>
        <v>0.47009781291099423</v>
      </c>
      <c r="R129" s="2">
        <f t="shared" si="22"/>
        <v>7655730.600632673</v>
      </c>
      <c r="S129" s="2">
        <f t="shared" si="23"/>
        <v>546937.934578947</v>
      </c>
      <c r="T129" t="s">
        <v>19</v>
      </c>
    </row>
    <row r="130" spans="1:20" ht="12.75">
      <c r="A130" t="s">
        <v>4</v>
      </c>
      <c r="B130" s="2">
        <v>37.13</v>
      </c>
      <c r="C130" s="2">
        <v>38.21</v>
      </c>
      <c r="D130" s="2">
        <v>111.3</v>
      </c>
      <c r="E130" s="2">
        <v>36.4</v>
      </c>
      <c r="F130" s="2">
        <v>2000000</v>
      </c>
      <c r="G130" s="2">
        <v>0</v>
      </c>
      <c r="H130">
        <f t="shared" si="12"/>
        <v>0.7973417796315638</v>
      </c>
      <c r="I130">
        <f t="shared" si="13"/>
        <v>0.7852589803895628</v>
      </c>
      <c r="J130">
        <f t="shared" si="14"/>
        <v>0.4982603763548172</v>
      </c>
      <c r="K130">
        <f t="shared" si="15"/>
        <v>0.48599583238050864</v>
      </c>
      <c r="L130" s="9">
        <f t="shared" si="16"/>
        <v>0.6126873412335488</v>
      </c>
      <c r="M130" s="9">
        <f t="shared" si="17"/>
        <v>0.5042545782894675</v>
      </c>
      <c r="N130" s="9">
        <f t="shared" si="18"/>
        <v>1.9942071873146399</v>
      </c>
      <c r="O130" s="2">
        <f t="shared" si="19"/>
        <v>8361538.106372519</v>
      </c>
      <c r="P130" s="2">
        <f t="shared" si="20"/>
        <v>37.78406991413404</v>
      </c>
      <c r="Q130" s="2">
        <f t="shared" si="21"/>
        <v>0.4921056338867471</v>
      </c>
      <c r="R130" s="2">
        <f t="shared" si="22"/>
        <v>8237527.689789215</v>
      </c>
      <c r="S130" s="2">
        <f t="shared" si="23"/>
        <v>406857.5084070575</v>
      </c>
      <c r="T130" t="s">
        <v>4</v>
      </c>
    </row>
    <row r="131" spans="12:19" ht="12.75">
      <c r="L131" s="9"/>
      <c r="M131" s="9"/>
      <c r="N131" s="9"/>
      <c r="O131" s="2"/>
      <c r="P131" s="2"/>
      <c r="Q131" s="2"/>
      <c r="R131" s="2"/>
      <c r="S131" s="2"/>
    </row>
    <row r="132" spans="1:20" ht="12.75">
      <c r="A132" s="1" t="s">
        <v>52</v>
      </c>
      <c r="L132" s="9"/>
      <c r="M132" s="9"/>
      <c r="N132" s="9"/>
      <c r="O132" s="2"/>
      <c r="P132" s="2"/>
      <c r="Q132" s="2"/>
      <c r="R132" s="2"/>
      <c r="S132" s="2"/>
      <c r="T132" s="1" t="s">
        <v>52</v>
      </c>
    </row>
    <row r="133" spans="1:20" ht="12.75">
      <c r="A133" t="s">
        <v>3</v>
      </c>
      <c r="B133" s="2">
        <v>38.02</v>
      </c>
      <c r="C133" s="2">
        <v>39.12</v>
      </c>
      <c r="D133" s="2">
        <v>78.3</v>
      </c>
      <c r="E133" s="2">
        <v>37.4</v>
      </c>
      <c r="F133" s="2">
        <v>2000000</v>
      </c>
      <c r="G133" s="2">
        <v>0</v>
      </c>
      <c r="H133">
        <f t="shared" si="12"/>
        <v>0.7886662973194037</v>
      </c>
      <c r="I133">
        <f t="shared" si="13"/>
        <v>0.7759942716359731</v>
      </c>
      <c r="J133">
        <f t="shared" si="14"/>
        <v>0.48941104288630627</v>
      </c>
      <c r="K133">
        <f t="shared" si="15"/>
        <v>0.47687244523717437</v>
      </c>
      <c r="L133" s="9">
        <f t="shared" si="16"/>
        <v>0.6241178687419946</v>
      </c>
      <c r="M133" s="9">
        <f t="shared" si="17"/>
        <v>0.49337672923497017</v>
      </c>
      <c r="N133" s="9">
        <f t="shared" si="18"/>
        <v>1.9738166776089758</v>
      </c>
      <c r="O133" s="2">
        <f t="shared" si="19"/>
        <v>8100516.357828199</v>
      </c>
      <c r="P133" s="2">
        <f t="shared" si="20"/>
        <v>38.61747061565708</v>
      </c>
      <c r="Q133" s="2">
        <f t="shared" si="21"/>
        <v>0.4831181306770017</v>
      </c>
      <c r="R133" s="2">
        <f t="shared" si="22"/>
        <v>7994980.7927178135</v>
      </c>
      <c r="S133" s="2">
        <f t="shared" si="23"/>
        <v>346244.5998663228</v>
      </c>
      <c r="T133" t="s">
        <v>3</v>
      </c>
    </row>
    <row r="134" spans="1:20" ht="12.75">
      <c r="A134" t="s">
        <v>4</v>
      </c>
      <c r="B134" s="2">
        <v>36.46</v>
      </c>
      <c r="C134" s="2">
        <v>37.58</v>
      </c>
      <c r="D134" s="2">
        <v>78.3</v>
      </c>
      <c r="E134" s="2">
        <v>36.2</v>
      </c>
      <c r="F134" s="2">
        <v>2000000</v>
      </c>
      <c r="G134" s="2">
        <v>0</v>
      </c>
      <c r="H134">
        <f t="shared" si="12"/>
        <v>0.8020528191183874</v>
      </c>
      <c r="I134">
        <f t="shared" si="13"/>
        <v>0.7893805501264368</v>
      </c>
      <c r="J134">
        <f t="shared" si="14"/>
        <v>0.5031626341611716</v>
      </c>
      <c r="K134">
        <f t="shared" si="15"/>
        <v>0.49013117664359446</v>
      </c>
      <c r="L134" s="9">
        <f t="shared" si="16"/>
        <v>0.6069248508220562</v>
      </c>
      <c r="M134" s="9">
        <f t="shared" si="17"/>
        <v>0.5079011594002408</v>
      </c>
      <c r="N134" s="9">
        <f t="shared" si="18"/>
        <v>2.0049735380748404</v>
      </c>
      <c r="O134" s="2">
        <f t="shared" si="19"/>
        <v>8476904.715517228</v>
      </c>
      <c r="P134" s="2">
        <f t="shared" si="20"/>
        <v>37.367480260225264</v>
      </c>
      <c r="Q134" s="2">
        <f t="shared" si="21"/>
        <v>0.496621603803002</v>
      </c>
      <c r="R134" s="2">
        <f t="shared" si="22"/>
        <v>8362143.222450752</v>
      </c>
      <c r="S134" s="2">
        <f t="shared" si="23"/>
        <v>376513.3318355988</v>
      </c>
      <c r="T134" t="s">
        <v>4</v>
      </c>
    </row>
    <row r="135" spans="12:19" ht="12.75">
      <c r="L135" s="9"/>
      <c r="M135" s="9"/>
      <c r="N135" s="9"/>
      <c r="O135" s="2"/>
      <c r="P135" s="2"/>
      <c r="Q135" s="2"/>
      <c r="R135" s="2"/>
      <c r="S135" s="2"/>
    </row>
    <row r="136" spans="1:20" ht="12.75">
      <c r="A136" s="1" t="s">
        <v>53</v>
      </c>
      <c r="L136" s="9"/>
      <c r="M136" s="9"/>
      <c r="N136" s="9"/>
      <c r="O136" s="2"/>
      <c r="P136" s="2"/>
      <c r="Q136" s="2"/>
      <c r="R136" s="2"/>
      <c r="S136" s="2"/>
      <c r="T136" s="1" t="s">
        <v>53</v>
      </c>
    </row>
    <row r="137" spans="1:20" ht="12.75">
      <c r="A137" t="s">
        <v>3</v>
      </c>
      <c r="B137" s="2">
        <v>47.3</v>
      </c>
      <c r="C137" s="2">
        <v>48.44</v>
      </c>
      <c r="D137" s="2">
        <v>120.5</v>
      </c>
      <c r="E137" s="2">
        <v>47</v>
      </c>
      <c r="F137" s="2">
        <v>2000000</v>
      </c>
      <c r="G137" s="2">
        <v>0</v>
      </c>
      <c r="H137">
        <f t="shared" si="12"/>
        <v>0.6768364951930642</v>
      </c>
      <c r="I137">
        <f t="shared" si="13"/>
        <v>0.6608292445163764</v>
      </c>
      <c r="J137">
        <f t="shared" si="14"/>
        <v>0.3908266335934251</v>
      </c>
      <c r="K137">
        <f t="shared" si="15"/>
        <v>0.37846244895415426</v>
      </c>
      <c r="L137" s="9">
        <f t="shared" si="16"/>
        <v>0.744520330326736</v>
      </c>
      <c r="M137" s="9">
        <f t="shared" si="17"/>
        <v>0.3958676506465955</v>
      </c>
      <c r="N137" s="9">
        <f t="shared" si="18"/>
        <v>1.8297143772194207</v>
      </c>
      <c r="O137" s="2">
        <f t="shared" si="19"/>
        <v>5853958.952434853</v>
      </c>
      <c r="P137" s="2">
        <f t="shared" si="20"/>
        <v>48.117915467544286</v>
      </c>
      <c r="Q137" s="2">
        <f t="shared" si="21"/>
        <v>0.3846196659777141</v>
      </c>
      <c r="R137" s="2">
        <f t="shared" si="22"/>
        <v>5729666.902776277</v>
      </c>
      <c r="S137" s="2">
        <f t="shared" si="23"/>
        <v>407781.4995881782</v>
      </c>
      <c r="T137" t="s">
        <v>3</v>
      </c>
    </row>
    <row r="138" spans="1:20" ht="12.75">
      <c r="A138" t="s">
        <v>4</v>
      </c>
      <c r="B138" s="2">
        <v>45.5</v>
      </c>
      <c r="C138" s="2">
        <v>47.2</v>
      </c>
      <c r="D138" s="2">
        <v>120.3</v>
      </c>
      <c r="E138" s="2">
        <v>45.2</v>
      </c>
      <c r="F138" s="2">
        <v>2000000</v>
      </c>
      <c r="G138" s="2">
        <v>0</v>
      </c>
      <c r="H138">
        <f t="shared" si="12"/>
        <v>0.6979643853313041</v>
      </c>
      <c r="I138">
        <f t="shared" si="13"/>
        <v>0.678975552730334</v>
      </c>
      <c r="J138">
        <f t="shared" si="14"/>
        <v>0.407696051187154</v>
      </c>
      <c r="K138">
        <f t="shared" si="15"/>
        <v>0.3925051168547136</v>
      </c>
      <c r="L138" s="9">
        <f t="shared" si="16"/>
        <v>0.7263957888705089</v>
      </c>
      <c r="M138" s="9">
        <f t="shared" si="17"/>
        <v>0.41279433720838343</v>
      </c>
      <c r="N138" s="9">
        <f t="shared" si="18"/>
        <v>1.8437832560480456</v>
      </c>
      <c r="O138" s="2">
        <f t="shared" si="19"/>
        <v>6184136.058571161</v>
      </c>
      <c r="P138" s="2">
        <f t="shared" si="20"/>
        <v>46.585085190933476</v>
      </c>
      <c r="Q138" s="2">
        <f t="shared" si="21"/>
        <v>0.40006362062297546</v>
      </c>
      <c r="R138" s="2">
        <f t="shared" si="22"/>
        <v>6045004.95412905</v>
      </c>
      <c r="S138" s="2">
        <f t="shared" si="23"/>
        <v>456465.9651571599</v>
      </c>
      <c r="T138" t="s">
        <v>4</v>
      </c>
    </row>
    <row r="139" spans="12:19" ht="12.75">
      <c r="L139" s="9"/>
      <c r="M139" s="9"/>
      <c r="N139" s="9"/>
      <c r="O139" s="2"/>
      <c r="P139" s="2"/>
      <c r="Q139" s="2"/>
      <c r="R139" s="2"/>
      <c r="S139" s="2"/>
    </row>
    <row r="140" spans="1:20" ht="12.75">
      <c r="A140" s="1" t="s">
        <v>54</v>
      </c>
      <c r="L140" s="9"/>
      <c r="M140" s="9"/>
      <c r="N140" s="9"/>
      <c r="O140" s="2"/>
      <c r="P140" s="2"/>
      <c r="Q140" s="2"/>
      <c r="R140" s="2"/>
      <c r="S140" s="2"/>
      <c r="T140" s="1" t="s">
        <v>54</v>
      </c>
    </row>
    <row r="141" spans="1:20" ht="12.75">
      <c r="A141" t="s">
        <v>3</v>
      </c>
      <c r="B141" s="2">
        <v>39</v>
      </c>
      <c r="C141" s="2">
        <v>40.15</v>
      </c>
      <c r="D141" s="2">
        <v>79.3</v>
      </c>
      <c r="E141" s="2">
        <v>38.3</v>
      </c>
      <c r="F141" s="2">
        <v>2000000</v>
      </c>
      <c r="G141" s="2">
        <v>0</v>
      </c>
      <c r="H141">
        <f aca="true" t="shared" si="24" ref="H141:H147">COS(torad(B141))/(SQRT(1-$I$3*SIN(torad(B141))^2))</f>
        <v>0.7781897033999762</v>
      </c>
      <c r="I141">
        <f aca="true" t="shared" si="25" ref="I141:I147">COS(torad(C141))/(SQRT(1-$I$3*SIN(torad(C141))^2))</f>
        <v>0.7643131143168066</v>
      </c>
      <c r="J141">
        <f aca="true" t="shared" si="26" ref="J141:J147">TAN(PI()/4-torad(B141)/2)/POWER(((1-$I$4*SIN(torad(B141)))/(1+$I$4*SIN(torad(B141)))),$I$4/2)</f>
        <v>0.47901344556200626</v>
      </c>
      <c r="K141">
        <f aca="true" t="shared" si="27" ref="K141:K147">TAN(PI()/4-torad(C141)/2)/POWER(((1-$I$4*SIN(torad(C141)))/(1+$I$4*SIN(torad(C141)))),$I$4/2)</f>
        <v>0.465688411572548</v>
      </c>
      <c r="L141" s="9">
        <f aca="true" t="shared" si="28" ref="L141:L147">(LN(I141)-LN(H141))/(LN(K141)-LN(J141))</f>
        <v>0.6377729835282225</v>
      </c>
      <c r="M141" s="9">
        <f aca="true" t="shared" si="29" ref="M141:M147">TAN(PI()/4-torad(E141)/2)/POWER(((1-$I$4*SIN(torad(E141)))/(1+$I$4*SIN(torad(E141)))),$I$4/2)</f>
        <v>0.4843812121814196</v>
      </c>
      <c r="N141" s="9">
        <f aca="true" t="shared" si="30" ref="N141:N147">H141/(L141*POWER(J141,L141))</f>
        <v>1.9511244015059908</v>
      </c>
      <c r="O141" s="2">
        <f aca="true" t="shared" si="31" ref="O141:O147">$I$2*N141*POWER(M141,L141)</f>
        <v>7837986.080866672</v>
      </c>
      <c r="P141" s="2">
        <f aca="true" t="shared" si="32" ref="P141:P147">DEGREES(ASIN(L141))</f>
        <v>39.62595623003877</v>
      </c>
      <c r="Q141" s="2">
        <f aca="true" t="shared" si="33" ref="Q141:Q147">TAN(PI()/4-RADIANS(P141)/2)/POWER(((1-$I$4*SIN(RADIANS(P141)))/(1+$I$4*SIN(RADIANS(P141)))),$I$4/2)</f>
        <v>0.47232407757147293</v>
      </c>
      <c r="R141" s="2">
        <f aca="true" t="shared" si="34" ref="R141:R147">$I$2*N141*Q141^L141</f>
        <v>7712988.015378845</v>
      </c>
      <c r="S141" s="2">
        <f aca="true" t="shared" si="35" ref="S141:S147">$K$2*(O141-R141)+G141</f>
        <v>410097.81985464634</v>
      </c>
      <c r="T141" t="s">
        <v>3</v>
      </c>
    </row>
    <row r="142" spans="1:20" ht="12.75">
      <c r="A142" t="s">
        <v>4</v>
      </c>
      <c r="B142" s="2">
        <v>37.29</v>
      </c>
      <c r="C142" s="2">
        <v>38.53</v>
      </c>
      <c r="D142" s="2">
        <v>81</v>
      </c>
      <c r="E142" s="2">
        <v>37</v>
      </c>
      <c r="F142" s="2">
        <v>2000000</v>
      </c>
      <c r="G142" s="2">
        <v>0</v>
      </c>
      <c r="H142">
        <f t="shared" si="24"/>
        <v>0.7945267533405374</v>
      </c>
      <c r="I142">
        <f t="shared" si="25"/>
        <v>0.7794659775358855</v>
      </c>
      <c r="J142">
        <f t="shared" si="26"/>
        <v>0.4953641332395482</v>
      </c>
      <c r="K142">
        <f t="shared" si="27"/>
        <v>0.48026396740759364</v>
      </c>
      <c r="L142" s="9">
        <f t="shared" si="28"/>
        <v>0.6181954125023964</v>
      </c>
      <c r="M142" s="9">
        <f t="shared" si="29"/>
        <v>0.5006183835875796</v>
      </c>
      <c r="N142" s="9">
        <f t="shared" si="30"/>
        <v>1.9841704887152207</v>
      </c>
      <c r="O142" s="2">
        <f t="shared" si="31"/>
        <v>8251141.467457032</v>
      </c>
      <c r="P142" s="2">
        <f t="shared" si="32"/>
        <v>38.18447335900076</v>
      </c>
      <c r="Q142" s="2">
        <f t="shared" si="33"/>
        <v>0.4877799010400085</v>
      </c>
      <c r="R142" s="2">
        <f t="shared" si="34"/>
        <v>8119681.62826519</v>
      </c>
      <c r="S142" s="2">
        <f t="shared" si="35"/>
        <v>431297.8224152346</v>
      </c>
      <c r="T142" t="s">
        <v>4</v>
      </c>
    </row>
    <row r="143" spans="12:19" ht="12.75">
      <c r="L143" s="9"/>
      <c r="M143" s="9"/>
      <c r="N143" s="9"/>
      <c r="O143" s="2"/>
      <c r="P143" s="2"/>
      <c r="Q143" s="2"/>
      <c r="R143" s="2"/>
      <c r="S143" s="2"/>
    </row>
    <row r="144" spans="1:20" ht="12.75">
      <c r="A144" s="1" t="s">
        <v>55</v>
      </c>
      <c r="L144" s="9"/>
      <c r="M144" s="9"/>
      <c r="N144" s="9"/>
      <c r="O144" s="2"/>
      <c r="P144" s="2"/>
      <c r="Q144" s="2"/>
      <c r="R144" s="2"/>
      <c r="S144" s="2"/>
      <c r="T144" s="1" t="s">
        <v>55</v>
      </c>
    </row>
    <row r="145" spans="1:20" ht="12.75">
      <c r="A145" t="s">
        <v>3</v>
      </c>
      <c r="B145" s="2">
        <v>45.34</v>
      </c>
      <c r="C145" s="2">
        <v>46.46</v>
      </c>
      <c r="D145" s="2">
        <v>90</v>
      </c>
      <c r="E145" s="2">
        <v>45.1</v>
      </c>
      <c r="F145" s="2">
        <v>2000000</v>
      </c>
      <c r="G145" s="2">
        <v>0</v>
      </c>
      <c r="H145">
        <f t="shared" si="24"/>
        <v>0.7012901018047849</v>
      </c>
      <c r="I145">
        <f t="shared" si="25"/>
        <v>0.6862049301680965</v>
      </c>
      <c r="J145">
        <f t="shared" si="26"/>
        <v>0.41041294017867685</v>
      </c>
      <c r="K145">
        <f t="shared" si="27"/>
        <v>0.39822587657268804</v>
      </c>
      <c r="L145" s="9">
        <f t="shared" si="28"/>
        <v>0.7213707923974366</v>
      </c>
      <c r="M145" s="9">
        <f t="shared" si="29"/>
        <v>0.4144977058645036</v>
      </c>
      <c r="N145" s="9">
        <f t="shared" si="30"/>
        <v>1.8482052345163538</v>
      </c>
      <c r="O145" s="2">
        <f t="shared" si="31"/>
        <v>6245114.447255079</v>
      </c>
      <c r="P145" s="2">
        <f t="shared" si="32"/>
        <v>46.1677718684908</v>
      </c>
      <c r="Q145" s="2">
        <f t="shared" si="33"/>
        <v>0.40429571400089276</v>
      </c>
      <c r="R145" s="2">
        <f t="shared" si="34"/>
        <v>6133848.003275157</v>
      </c>
      <c r="S145" s="2">
        <f t="shared" si="35"/>
        <v>365046.65829079325</v>
      </c>
      <c r="T145" t="s">
        <v>3</v>
      </c>
    </row>
    <row r="146" spans="1:20" ht="12.75">
      <c r="A146" t="s">
        <v>19</v>
      </c>
      <c r="B146" s="2">
        <v>44.15</v>
      </c>
      <c r="C146" s="2">
        <v>45.3</v>
      </c>
      <c r="D146" s="2">
        <v>90</v>
      </c>
      <c r="E146" s="2">
        <v>43.5</v>
      </c>
      <c r="F146" s="2">
        <v>2000000</v>
      </c>
      <c r="G146" s="2">
        <v>0</v>
      </c>
      <c r="H146">
        <f t="shared" si="24"/>
        <v>0.7174852410781567</v>
      </c>
      <c r="I146">
        <f t="shared" si="25"/>
        <v>0.7021191433884665</v>
      </c>
      <c r="J146">
        <f t="shared" si="26"/>
        <v>0.42390205229785405</v>
      </c>
      <c r="K146">
        <f t="shared" si="27"/>
        <v>0.41109294561749044</v>
      </c>
      <c r="L146" s="9">
        <f t="shared" si="28"/>
        <v>0.7055766184912802</v>
      </c>
      <c r="M146" s="9">
        <f t="shared" si="29"/>
        <v>0.4281971184537276</v>
      </c>
      <c r="N146" s="9">
        <f t="shared" si="30"/>
        <v>1.8632087961992172</v>
      </c>
      <c r="O146" s="2">
        <f t="shared" si="31"/>
        <v>6532155.741595</v>
      </c>
      <c r="P146" s="2">
        <f t="shared" si="32"/>
        <v>44.87614702671526</v>
      </c>
      <c r="Q146" s="2">
        <f t="shared" si="33"/>
        <v>0.41747163674106597</v>
      </c>
      <c r="R146" s="2">
        <f t="shared" si="34"/>
        <v>6416280.746918844</v>
      </c>
      <c r="S146" s="2">
        <f t="shared" si="35"/>
        <v>380166.545033355</v>
      </c>
      <c r="T146" t="s">
        <v>19</v>
      </c>
    </row>
    <row r="147" spans="1:20" ht="12.75">
      <c r="A147" t="s">
        <v>4</v>
      </c>
      <c r="B147" s="2">
        <v>42.44</v>
      </c>
      <c r="C147" s="2">
        <v>44.04</v>
      </c>
      <c r="D147" s="2">
        <v>90</v>
      </c>
      <c r="E147" s="2">
        <v>42</v>
      </c>
      <c r="F147" s="2">
        <v>2000000</v>
      </c>
      <c r="G147" s="2">
        <v>0</v>
      </c>
      <c r="H147">
        <f t="shared" si="24"/>
        <v>0.7356673053040791</v>
      </c>
      <c r="I147">
        <f t="shared" si="25"/>
        <v>0.7197102057457002</v>
      </c>
      <c r="J147">
        <f t="shared" si="26"/>
        <v>0.43959885153610306</v>
      </c>
      <c r="K147">
        <f t="shared" si="27"/>
        <v>0.42579029495764975</v>
      </c>
      <c r="L147" s="9">
        <f t="shared" si="28"/>
        <v>0.6871032400410786</v>
      </c>
      <c r="M147" s="9">
        <f t="shared" si="29"/>
        <v>0.4472518034180095</v>
      </c>
      <c r="N147" s="9">
        <f t="shared" si="30"/>
        <v>1.8832867919734735</v>
      </c>
      <c r="O147" s="2">
        <f t="shared" si="31"/>
        <v>6910480.495597574</v>
      </c>
      <c r="P147" s="2">
        <f t="shared" si="32"/>
        <v>43.40124037918806</v>
      </c>
      <c r="Q147" s="2">
        <f t="shared" si="33"/>
        <v>0.43266489909316197</v>
      </c>
      <c r="R147" s="2">
        <f t="shared" si="34"/>
        <v>6754818.104040407</v>
      </c>
      <c r="S147" s="2">
        <f t="shared" si="35"/>
        <v>510702.36296713963</v>
      </c>
      <c r="T147" t="s">
        <v>4</v>
      </c>
    </row>
    <row r="148" spans="15:19" ht="12.75">
      <c r="O148" s="2"/>
      <c r="P148" s="2"/>
      <c r="Q148" s="2"/>
      <c r="R148" s="2"/>
      <c r="S148" s="2"/>
    </row>
    <row r="149" spans="15:19" ht="12.75">
      <c r="O149" s="2"/>
      <c r="P149" s="2"/>
      <c r="Q149" s="2"/>
      <c r="R149" s="2"/>
      <c r="S149" s="2"/>
    </row>
    <row r="150" spans="15:19" ht="12.75">
      <c r="O150" s="2"/>
      <c r="P150" s="2"/>
      <c r="Q150" s="2"/>
      <c r="R150" s="2"/>
      <c r="S150" s="2"/>
    </row>
    <row r="151" spans="15:19" ht="12.75">
      <c r="O151" s="2"/>
      <c r="P151" s="2"/>
      <c r="Q151" s="2"/>
      <c r="R151" s="2"/>
      <c r="S151" s="2"/>
    </row>
    <row r="152" spans="15:19" ht="12.75">
      <c r="O152" s="2"/>
      <c r="P152" s="2"/>
      <c r="Q152" s="2"/>
      <c r="R152" s="2"/>
      <c r="S152" s="2"/>
    </row>
    <row r="153" spans="15:19" ht="12.75">
      <c r="O153" s="2"/>
      <c r="P153" s="2"/>
      <c r="Q153" s="2"/>
      <c r="R153" s="2"/>
      <c r="S153" s="2"/>
    </row>
    <row r="154" spans="15:19" ht="12.75">
      <c r="O154" s="2"/>
      <c r="P154" s="2"/>
      <c r="Q154" s="2"/>
      <c r="R154" s="2"/>
      <c r="S154" s="2"/>
    </row>
    <row r="155" spans="15:19" ht="12.75">
      <c r="O155" s="2"/>
      <c r="P155" s="2"/>
      <c r="Q155" s="2"/>
      <c r="R155" s="2"/>
      <c r="S155" s="2"/>
    </row>
    <row r="156" spans="15:19" ht="12.75">
      <c r="O156" s="2"/>
      <c r="P156" s="2"/>
      <c r="Q156" s="2"/>
      <c r="R156" s="2"/>
      <c r="S156" s="2"/>
    </row>
    <row r="157" spans="15:19" ht="12.75">
      <c r="O157" s="2"/>
      <c r="P157" s="2"/>
      <c r="Q157" s="2"/>
      <c r="R157" s="2"/>
      <c r="S157" s="2"/>
    </row>
    <row r="158" spans="15:19" ht="12.75">
      <c r="O158" s="2"/>
      <c r="P158" s="2"/>
      <c r="Q158" s="2"/>
      <c r="R158" s="2"/>
      <c r="S158" s="2"/>
    </row>
    <row r="159" spans="15:19" ht="12.75">
      <c r="O159" s="2"/>
      <c r="P159" s="2"/>
      <c r="Q159" s="2"/>
      <c r="R159" s="2"/>
      <c r="S159" s="2"/>
    </row>
    <row r="160" spans="15:19" ht="12.75">
      <c r="O160" s="2"/>
      <c r="P160" s="2"/>
      <c r="Q160" s="2"/>
      <c r="R160" s="2"/>
      <c r="S160" s="2"/>
    </row>
    <row r="161" spans="15:19" ht="12.75">
      <c r="O161" s="2"/>
      <c r="P161" s="2"/>
      <c r="Q161" s="2"/>
      <c r="R161" s="2"/>
      <c r="S161" s="2"/>
    </row>
    <row r="162" spans="15:19" ht="12.75">
      <c r="O162" s="2"/>
      <c r="P162" s="2"/>
      <c r="Q162" s="2"/>
      <c r="R162" s="2"/>
      <c r="S162" s="2"/>
    </row>
    <row r="163" spans="15:19" ht="12.75">
      <c r="O163" s="2"/>
      <c r="P163" s="2"/>
      <c r="Q163" s="2"/>
      <c r="R163" s="2"/>
      <c r="S163" s="2"/>
    </row>
    <row r="164" spans="15:19" ht="12.75">
      <c r="O164" s="2"/>
      <c r="P164" s="2"/>
      <c r="Q164" s="2"/>
      <c r="R164" s="2"/>
      <c r="S164" s="2"/>
    </row>
    <row r="165" spans="15:19" ht="12.75">
      <c r="O165" s="2"/>
      <c r="P165" s="2"/>
      <c r="Q165" s="2"/>
      <c r="R165" s="2"/>
      <c r="S165" s="2"/>
    </row>
    <row r="166" spans="15:19" ht="12.75">
      <c r="O166" s="2"/>
      <c r="P166" s="2"/>
      <c r="Q166" s="2"/>
      <c r="R166" s="2"/>
      <c r="S166" s="2"/>
    </row>
    <row r="167" spans="15:19" ht="12.75">
      <c r="O167" s="2"/>
      <c r="P167" s="2"/>
      <c r="Q167" s="2"/>
      <c r="R167" s="2"/>
      <c r="S167" s="2"/>
    </row>
    <row r="168" spans="15:19" ht="12.75">
      <c r="O168" s="2"/>
      <c r="P168" s="2"/>
      <c r="Q168" s="2"/>
      <c r="R168" s="2"/>
      <c r="S168" s="2"/>
    </row>
    <row r="169" spans="15:19" ht="12.75">
      <c r="O169" s="2"/>
      <c r="P169" s="2"/>
      <c r="Q169" s="2"/>
      <c r="R169" s="2"/>
      <c r="S169" s="2"/>
    </row>
    <row r="170" spans="15:19" ht="12.75">
      <c r="O170" s="2"/>
      <c r="P170" s="2"/>
      <c r="Q170" s="2"/>
      <c r="R170" s="2"/>
      <c r="S170" s="2"/>
    </row>
    <row r="171" spans="15:19" ht="12.75">
      <c r="O171" s="2"/>
      <c r="P171" s="2"/>
      <c r="Q171" s="2"/>
      <c r="R171" s="2"/>
      <c r="S171" s="2"/>
    </row>
    <row r="172" spans="15:19" ht="12.75">
      <c r="O172" s="2"/>
      <c r="P172" s="2"/>
      <c r="Q172" s="2"/>
      <c r="R172" s="2"/>
      <c r="S172" s="2"/>
    </row>
    <row r="173" spans="15:19" ht="12.75">
      <c r="O173" s="2"/>
      <c r="P173" s="2"/>
      <c r="Q173" s="2"/>
      <c r="R173" s="2"/>
      <c r="S173" s="2"/>
    </row>
    <row r="174" spans="15:19" ht="12.75">
      <c r="O174" s="2"/>
      <c r="P174" s="2"/>
      <c r="Q174" s="2"/>
      <c r="R174" s="2"/>
      <c r="S174" s="2"/>
    </row>
    <row r="175" spans="15:19" ht="12.75">
      <c r="O175" s="2"/>
      <c r="P175" s="2"/>
      <c r="Q175" s="2"/>
      <c r="R175" s="2"/>
      <c r="S175" s="2"/>
    </row>
    <row r="176" spans="15:19" ht="12.75">
      <c r="O176" s="2"/>
      <c r="P176" s="2"/>
      <c r="Q176" s="2"/>
      <c r="R176" s="2"/>
      <c r="S176" s="2"/>
    </row>
    <row r="177" spans="15:19" ht="12.75">
      <c r="O177" s="2"/>
      <c r="P177" s="2"/>
      <c r="Q177" s="2"/>
      <c r="R177" s="2"/>
      <c r="S177" s="2"/>
    </row>
    <row r="178" spans="15:19" ht="12.75">
      <c r="O178" s="2"/>
      <c r="P178" s="2"/>
      <c r="Q178" s="2"/>
      <c r="R178" s="2"/>
      <c r="S178" s="2"/>
    </row>
    <row r="179" spans="15:19" ht="12.75">
      <c r="O179" s="2"/>
      <c r="P179" s="2"/>
      <c r="Q179" s="2"/>
      <c r="R179" s="2"/>
      <c r="S179" s="2"/>
    </row>
    <row r="180" spans="15:19" ht="12.75">
      <c r="O180" s="2"/>
      <c r="P180" s="2"/>
      <c r="Q180" s="2"/>
      <c r="R180" s="2"/>
      <c r="S180" s="2"/>
    </row>
    <row r="181" spans="15:19" ht="12.75">
      <c r="O181" s="2"/>
      <c r="P181" s="2"/>
      <c r="Q181" s="2"/>
      <c r="R181" s="2"/>
      <c r="S181" s="2"/>
    </row>
    <row r="182" spans="15:19" ht="12.75">
      <c r="O182" s="2"/>
      <c r="P182" s="2"/>
      <c r="Q182" s="2"/>
      <c r="R182" s="2"/>
      <c r="S182" s="2"/>
    </row>
    <row r="183" spans="15:19" ht="12.75">
      <c r="O183" s="2"/>
      <c r="P183" s="2"/>
      <c r="Q183" s="2"/>
      <c r="R183" s="2"/>
      <c r="S183" s="2"/>
    </row>
    <row r="184" spans="15:19" ht="12.75">
      <c r="O184" s="2"/>
      <c r="P184" s="2"/>
      <c r="Q184" s="2"/>
      <c r="R184" s="2"/>
      <c r="S184" s="2"/>
    </row>
    <row r="185" spans="15:19" ht="12.75">
      <c r="O185" s="2"/>
      <c r="P185" s="2"/>
      <c r="Q185" s="2"/>
      <c r="R185" s="2"/>
      <c r="S185" s="2"/>
    </row>
    <row r="186" spans="15:19" ht="12.75">
      <c r="O186" s="2"/>
      <c r="P186" s="2"/>
      <c r="Q186" s="2"/>
      <c r="R186" s="2"/>
      <c r="S186" s="2"/>
    </row>
    <row r="187" spans="15:19" ht="12.75">
      <c r="O187" s="2"/>
      <c r="P187" s="2"/>
      <c r="Q187" s="2"/>
      <c r="R187" s="2"/>
      <c r="S187" s="2"/>
    </row>
    <row r="188" spans="15:19" ht="12.75">
      <c r="O188" s="2"/>
      <c r="P188" s="2"/>
      <c r="Q188" s="2"/>
      <c r="R188" s="2"/>
      <c r="S188" s="2"/>
    </row>
    <row r="189" spans="15:19" ht="12.75">
      <c r="O189" s="2"/>
      <c r="P189" s="2"/>
      <c r="Q189" s="2"/>
      <c r="R189" s="2"/>
      <c r="S189" s="2"/>
    </row>
    <row r="190" spans="15:19" ht="12.75">
      <c r="O190" s="2"/>
      <c r="P190" s="2"/>
      <c r="Q190" s="2"/>
      <c r="R190" s="2"/>
      <c r="S190" s="2"/>
    </row>
    <row r="191" spans="15:19" ht="12.75">
      <c r="O191" s="2"/>
      <c r="P191" s="2"/>
      <c r="Q191" s="2"/>
      <c r="R191" s="2"/>
      <c r="S191" s="2"/>
    </row>
    <row r="192" spans="15:19" ht="12.75">
      <c r="O192" s="2"/>
      <c r="P192" s="2"/>
      <c r="Q192" s="2"/>
      <c r="R192" s="2"/>
      <c r="S192" s="2"/>
    </row>
    <row r="193" spans="15:19" ht="12.75">
      <c r="O193" s="2"/>
      <c r="P193" s="2"/>
      <c r="Q193" s="2"/>
      <c r="R193" s="2"/>
      <c r="S193" s="2"/>
    </row>
    <row r="194" spans="15:19" ht="12.75">
      <c r="O194" s="2"/>
      <c r="P194" s="2"/>
      <c r="Q194" s="2"/>
      <c r="R194" s="2"/>
      <c r="S194" s="2"/>
    </row>
    <row r="195" spans="15:19" ht="12.75">
      <c r="O195" s="2"/>
      <c r="P195" s="2"/>
      <c r="Q195" s="2"/>
      <c r="R195" s="2"/>
      <c r="S195" s="2"/>
    </row>
    <row r="196" spans="15:19" ht="12.75">
      <c r="O196" s="2"/>
      <c r="P196" s="2"/>
      <c r="Q196" s="2"/>
      <c r="R196" s="2"/>
      <c r="S196" s="2"/>
    </row>
    <row r="197" spans="15:19" ht="12.75">
      <c r="O197" s="2"/>
      <c r="P197" s="2"/>
      <c r="Q197" s="2"/>
      <c r="R197" s="2"/>
      <c r="S197" s="2"/>
    </row>
    <row r="198" spans="15:19" ht="12.75">
      <c r="O198" s="2"/>
      <c r="P198" s="2"/>
      <c r="Q198" s="2"/>
      <c r="R198" s="2"/>
      <c r="S198" s="2"/>
    </row>
    <row r="199" spans="15:19" ht="12.75">
      <c r="O199" s="2"/>
      <c r="P199" s="2"/>
      <c r="Q199" s="2"/>
      <c r="R199" s="2"/>
      <c r="S199" s="2"/>
    </row>
    <row r="200" spans="15:19" ht="12.75">
      <c r="O200" s="2"/>
      <c r="P200" s="2"/>
      <c r="Q200" s="2"/>
      <c r="R200" s="2"/>
      <c r="S200" s="2"/>
    </row>
    <row r="201" spans="15:19" ht="12.75">
      <c r="O201" s="2"/>
      <c r="P201" s="2"/>
      <c r="Q201" s="2"/>
      <c r="R201" s="2"/>
      <c r="S201" s="2"/>
    </row>
    <row r="202" spans="15:19" ht="12.75">
      <c r="O202" s="2"/>
      <c r="P202" s="2"/>
      <c r="Q202" s="2"/>
      <c r="R202" s="2"/>
      <c r="S202" s="2"/>
    </row>
    <row r="203" spans="15:19" ht="12.75">
      <c r="O203" s="2"/>
      <c r="P203" s="2"/>
      <c r="Q203" s="2"/>
      <c r="R203" s="2"/>
      <c r="S203" s="2"/>
    </row>
    <row r="204" spans="15:19" ht="12.75">
      <c r="O204" s="2"/>
      <c r="P204" s="2"/>
      <c r="Q204" s="2"/>
      <c r="R204" s="2"/>
      <c r="S204" s="2"/>
    </row>
    <row r="205" spans="15:19" ht="12.75">
      <c r="O205" s="2"/>
      <c r="P205" s="2"/>
      <c r="Q205" s="2"/>
      <c r="R205" s="2"/>
      <c r="S205" s="2"/>
    </row>
    <row r="206" spans="15:19" ht="12.75">
      <c r="O206" s="2"/>
      <c r="P206" s="2"/>
      <c r="Q206" s="2"/>
      <c r="R206" s="2"/>
      <c r="S206" s="2"/>
    </row>
    <row r="207" spans="15:19" ht="12.75">
      <c r="O207" s="2"/>
      <c r="P207" s="2"/>
      <c r="Q207" s="2"/>
      <c r="R207" s="2"/>
      <c r="S207" s="2"/>
    </row>
    <row r="208" spans="15:19" ht="12.75">
      <c r="O208" s="2"/>
      <c r="P208" s="2"/>
      <c r="Q208" s="2"/>
      <c r="R208" s="2"/>
      <c r="S208" s="2"/>
    </row>
    <row r="209" spans="15:19" ht="12.75">
      <c r="O209" s="2"/>
      <c r="P209" s="2"/>
      <c r="Q209" s="2"/>
      <c r="R209" s="2"/>
      <c r="S209" s="2"/>
    </row>
    <row r="210" spans="15:19" ht="12.75">
      <c r="O210" s="2"/>
      <c r="P210" s="2"/>
      <c r="Q210" s="2"/>
      <c r="R210" s="2"/>
      <c r="S210" s="2"/>
    </row>
    <row r="211" spans="15:19" ht="12.75">
      <c r="O211" s="2"/>
      <c r="P211" s="2"/>
      <c r="Q211" s="2"/>
      <c r="R211" s="2"/>
      <c r="S211" s="2"/>
    </row>
    <row r="212" spans="15:19" ht="12.75">
      <c r="O212" s="2"/>
      <c r="P212" s="2"/>
      <c r="Q212" s="2"/>
      <c r="R212" s="2"/>
      <c r="S212" s="2"/>
    </row>
    <row r="213" spans="15:19" ht="12.75">
      <c r="O213" s="2"/>
      <c r="P213" s="2"/>
      <c r="Q213" s="2"/>
      <c r="R213" s="2"/>
      <c r="S213" s="2"/>
    </row>
    <row r="214" spans="15:19" ht="12.75">
      <c r="O214" s="2"/>
      <c r="P214" s="2"/>
      <c r="Q214" s="2"/>
      <c r="R214" s="2"/>
      <c r="S214" s="2"/>
    </row>
    <row r="215" spans="15:19" ht="12.75">
      <c r="O215" s="2"/>
      <c r="P215" s="2"/>
      <c r="Q215" s="2"/>
      <c r="R215" s="2"/>
      <c r="S215" s="2"/>
    </row>
    <row r="216" spans="15:19" ht="12.75">
      <c r="O216" s="2"/>
      <c r="P216" s="2"/>
      <c r="Q216" s="2"/>
      <c r="R216" s="2"/>
      <c r="S216" s="2"/>
    </row>
    <row r="217" spans="15:19" ht="12.75">
      <c r="O217" s="2"/>
      <c r="P217" s="2"/>
      <c r="Q217" s="2"/>
      <c r="R217" s="2"/>
      <c r="S217" s="2"/>
    </row>
    <row r="218" spans="15:19" ht="12.75">
      <c r="O218" s="2"/>
      <c r="P218" s="2"/>
      <c r="Q218" s="2"/>
      <c r="R218" s="2"/>
      <c r="S218" s="2"/>
    </row>
    <row r="219" spans="15:19" ht="12.75">
      <c r="O219" s="2"/>
      <c r="P219" s="2"/>
      <c r="Q219" s="2"/>
      <c r="R219" s="2"/>
      <c r="S219" s="2"/>
    </row>
    <row r="220" spans="15:19" ht="12.75">
      <c r="O220" s="2"/>
      <c r="P220" s="2"/>
      <c r="Q220" s="2"/>
      <c r="R220" s="2"/>
      <c r="S220" s="2"/>
    </row>
    <row r="221" spans="15:19" ht="12.75">
      <c r="O221" s="2"/>
      <c r="P221" s="2"/>
      <c r="Q221" s="2"/>
      <c r="R221" s="2"/>
      <c r="S221" s="2"/>
    </row>
    <row r="222" spans="15:19" ht="12.75">
      <c r="O222" s="2"/>
      <c r="P222" s="2"/>
      <c r="Q222" s="2"/>
      <c r="R222" s="2"/>
      <c r="S222" s="2"/>
    </row>
    <row r="223" spans="15:19" ht="12.75">
      <c r="O223" s="2"/>
      <c r="P223" s="2"/>
      <c r="Q223" s="2"/>
      <c r="R223" s="2"/>
      <c r="S223" s="2"/>
    </row>
    <row r="224" spans="15:19" ht="12.75">
      <c r="O224" s="2"/>
      <c r="P224" s="2"/>
      <c r="Q224" s="2"/>
      <c r="R224" s="2"/>
      <c r="S224" s="2"/>
    </row>
    <row r="225" spans="15:19" ht="12.75">
      <c r="O225" s="2"/>
      <c r="P225" s="2"/>
      <c r="Q225" s="2"/>
      <c r="R225" s="2"/>
      <c r="S225" s="2"/>
    </row>
    <row r="226" spans="15:19" ht="12.75">
      <c r="O226" s="2"/>
      <c r="P226" s="2"/>
      <c r="Q226" s="2"/>
      <c r="R226" s="2"/>
      <c r="S226" s="2"/>
    </row>
    <row r="227" spans="15:19" ht="12.75">
      <c r="O227" s="2"/>
      <c r="P227" s="2"/>
      <c r="Q227" s="2"/>
      <c r="R227" s="2"/>
      <c r="S227" s="2"/>
    </row>
    <row r="228" spans="15:19" ht="12.75">
      <c r="O228" s="2"/>
      <c r="P228" s="2"/>
      <c r="Q228" s="2"/>
      <c r="R228" s="2"/>
      <c r="S228" s="2"/>
    </row>
    <row r="229" spans="15:19" ht="12.75">
      <c r="O229" s="2"/>
      <c r="P229" s="2"/>
      <c r="Q229" s="2"/>
      <c r="R229" s="2"/>
      <c r="S229" s="2"/>
    </row>
    <row r="230" spans="15:19" ht="12.75">
      <c r="O230" s="2"/>
      <c r="P230" s="2"/>
      <c r="Q230" s="2"/>
      <c r="R230" s="2"/>
      <c r="S230" s="2"/>
    </row>
    <row r="231" spans="15:19" ht="12.75">
      <c r="O231" s="2"/>
      <c r="P231" s="2"/>
      <c r="Q231" s="2"/>
      <c r="R231" s="2"/>
      <c r="S231" s="2"/>
    </row>
    <row r="232" spans="15:19" ht="12.75">
      <c r="O232" s="2"/>
      <c r="P232" s="2"/>
      <c r="Q232" s="2"/>
      <c r="R232" s="2"/>
      <c r="S232" s="2"/>
    </row>
    <row r="233" spans="15:19" ht="12.75">
      <c r="O233" s="2"/>
      <c r="P233" s="2"/>
      <c r="Q233" s="2"/>
      <c r="R233" s="2"/>
      <c r="S233" s="2"/>
    </row>
    <row r="234" spans="15:19" ht="12.75">
      <c r="O234" s="2"/>
      <c r="P234" s="2"/>
      <c r="Q234" s="2"/>
      <c r="R234" s="2"/>
      <c r="S234" s="2"/>
    </row>
    <row r="235" spans="15:19" ht="12.75">
      <c r="O235" s="2"/>
      <c r="P235" s="2"/>
      <c r="Q235" s="2"/>
      <c r="R235" s="2"/>
      <c r="S235" s="2"/>
    </row>
    <row r="236" spans="15:19" ht="12.75">
      <c r="O236" s="2"/>
      <c r="P236" s="2"/>
      <c r="Q236" s="2"/>
      <c r="R236" s="2"/>
      <c r="S236" s="2"/>
    </row>
    <row r="237" spans="15:19" ht="12.75">
      <c r="O237" s="2"/>
      <c r="P237" s="2"/>
      <c r="Q237" s="2"/>
      <c r="R237" s="2"/>
      <c r="S237" s="2"/>
    </row>
    <row r="238" spans="15:19" ht="12.75">
      <c r="O238" s="2"/>
      <c r="P238" s="2"/>
      <c r="Q238" s="2"/>
      <c r="R238" s="2"/>
      <c r="S238" s="2"/>
    </row>
    <row r="239" spans="15:19" ht="12.75">
      <c r="O239" s="2"/>
      <c r="P239" s="2"/>
      <c r="Q239" s="2"/>
      <c r="R239" s="2"/>
      <c r="S239" s="2"/>
    </row>
    <row r="240" spans="15:19" ht="12.75">
      <c r="O240" s="2"/>
      <c r="P240" s="2"/>
      <c r="Q240" s="2"/>
      <c r="R240" s="2"/>
      <c r="S240" s="2"/>
    </row>
    <row r="241" spans="15:19" ht="12.75">
      <c r="O241" s="2"/>
      <c r="P241" s="2"/>
      <c r="Q241" s="2"/>
      <c r="R241" s="2"/>
      <c r="S241" s="2"/>
    </row>
    <row r="242" spans="15:19" ht="12.75">
      <c r="O242" s="2"/>
      <c r="P242" s="2"/>
      <c r="Q242" s="2"/>
      <c r="R242" s="2"/>
      <c r="S242" s="2"/>
    </row>
    <row r="243" spans="15:19" ht="12.75">
      <c r="O243" s="2"/>
      <c r="P243" s="2"/>
      <c r="Q243" s="2"/>
      <c r="R243" s="2"/>
      <c r="S243" s="2"/>
    </row>
    <row r="244" spans="15:19" ht="12.75">
      <c r="O244" s="2"/>
      <c r="P244" s="2"/>
      <c r="Q244" s="2"/>
      <c r="R244" s="2"/>
      <c r="S244" s="2"/>
    </row>
    <row r="245" spans="15:19" ht="12.75">
      <c r="O245" s="2"/>
      <c r="P245" s="2"/>
      <c r="Q245" s="2"/>
      <c r="R245" s="2"/>
      <c r="S245" s="2"/>
    </row>
    <row r="246" spans="15:19" ht="12.75">
      <c r="O246" s="2"/>
      <c r="P246" s="2"/>
      <c r="Q246" s="2"/>
      <c r="R246" s="2"/>
      <c r="S246" s="2"/>
    </row>
    <row r="247" spans="15:19" ht="12.75">
      <c r="O247" s="2"/>
      <c r="P247" s="2"/>
      <c r="Q247" s="2"/>
      <c r="R247" s="2"/>
      <c r="S247" s="2"/>
    </row>
    <row r="248" spans="15:19" ht="12.75">
      <c r="O248" s="2"/>
      <c r="P248" s="2"/>
      <c r="Q248" s="2"/>
      <c r="R248" s="2"/>
      <c r="S248" s="2"/>
    </row>
    <row r="249" spans="15:19" ht="12.75">
      <c r="O249" s="2"/>
      <c r="P249" s="2"/>
      <c r="Q249" s="2"/>
      <c r="R249" s="2"/>
      <c r="S249" s="2"/>
    </row>
    <row r="250" spans="15:19" ht="12.75">
      <c r="O250" s="2"/>
      <c r="P250" s="2"/>
      <c r="Q250" s="2"/>
      <c r="R250" s="2"/>
      <c r="S250" s="2"/>
    </row>
    <row r="251" spans="15:19" ht="12.75">
      <c r="O251" s="2"/>
      <c r="P251" s="2"/>
      <c r="Q251" s="2"/>
      <c r="R251" s="2"/>
      <c r="S251" s="2"/>
    </row>
    <row r="252" spans="15:19" ht="12.75">
      <c r="O252" s="2"/>
      <c r="P252" s="2"/>
      <c r="Q252" s="2"/>
      <c r="R252" s="2"/>
      <c r="S252" s="2"/>
    </row>
    <row r="253" spans="15:19" ht="12.75">
      <c r="O253" s="2"/>
      <c r="P253" s="2"/>
      <c r="Q253" s="2"/>
      <c r="R253" s="2"/>
      <c r="S253" s="2"/>
    </row>
    <row r="254" spans="15:19" ht="12.75">
      <c r="O254" s="2"/>
      <c r="P254" s="2"/>
      <c r="Q254" s="2"/>
      <c r="R254" s="2"/>
      <c r="S254" s="2"/>
    </row>
    <row r="255" spans="15:19" ht="12.75">
      <c r="O255" s="2"/>
      <c r="P255" s="2"/>
      <c r="Q255" s="2"/>
      <c r="R255" s="2"/>
      <c r="S255" s="2"/>
    </row>
    <row r="256" spans="15:19" ht="12.75">
      <c r="O256" s="2"/>
      <c r="P256" s="2"/>
      <c r="Q256" s="2"/>
      <c r="R256" s="2"/>
      <c r="S256" s="2"/>
    </row>
    <row r="257" spans="15:19" ht="12.75">
      <c r="O257" s="2"/>
      <c r="P257" s="2"/>
      <c r="Q257" s="2"/>
      <c r="R257" s="2"/>
      <c r="S257" s="2"/>
    </row>
    <row r="258" spans="15:19" ht="12.75">
      <c r="O258" s="2"/>
      <c r="P258" s="2"/>
      <c r="Q258" s="2"/>
      <c r="R258" s="2"/>
      <c r="S258" s="2"/>
    </row>
    <row r="259" spans="15:19" ht="12.75">
      <c r="O259" s="2"/>
      <c r="P259" s="2"/>
      <c r="Q259" s="2"/>
      <c r="R259" s="2"/>
      <c r="S259" s="2"/>
    </row>
    <row r="260" spans="15:19" ht="12.75">
      <c r="O260" s="2"/>
      <c r="P260" s="2"/>
      <c r="Q260" s="2"/>
      <c r="R260" s="2"/>
      <c r="S260" s="2"/>
    </row>
    <row r="261" spans="15:19" ht="12.75">
      <c r="O261" s="2"/>
      <c r="P261" s="2"/>
      <c r="Q261" s="2"/>
      <c r="R261" s="2"/>
      <c r="S261" s="2"/>
    </row>
    <row r="262" spans="15:19" ht="12.75">
      <c r="O262" s="2"/>
      <c r="P262" s="2"/>
      <c r="Q262" s="2"/>
      <c r="R262" s="2"/>
      <c r="S262" s="2"/>
    </row>
    <row r="263" spans="15:19" ht="12.75">
      <c r="O263" s="2"/>
      <c r="P263" s="2"/>
      <c r="Q263" s="2"/>
      <c r="R263" s="2"/>
      <c r="S263" s="2"/>
    </row>
    <row r="264" spans="15:19" ht="12.75">
      <c r="O264" s="2"/>
      <c r="P264" s="2"/>
      <c r="Q264" s="2"/>
      <c r="R264" s="2"/>
      <c r="S264" s="2"/>
    </row>
  </sheetData>
  <mergeCells count="2">
    <mergeCell ref="D8:E8"/>
    <mergeCell ref="B9:C9"/>
  </mergeCells>
  <printOptions/>
  <pageMargins left="0.75" right="0.75" top="1" bottom="1" header="0.5" footer="0.5"/>
  <pageSetup fitToHeight="0" fitToWidth="1" orientation="landscape" paperSize="9" scale="70"/>
  <rowBreaks count="1" manualBreakCount="1"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I148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13.125" style="0" customWidth="1"/>
    <col min="2" max="5" width="10.75390625" style="2" customWidth="1"/>
    <col min="6" max="6" width="11.625" style="2" bestFit="1" customWidth="1"/>
    <col min="7" max="7" width="10.75390625" style="2" customWidth="1"/>
    <col min="8" max="11" width="0" style="0" hidden="1" customWidth="1"/>
    <col min="12" max="12" width="10.75390625" style="10" customWidth="1"/>
    <col min="13" max="13" width="0" style="10" hidden="1" customWidth="1"/>
    <col min="14" max="14" width="10.75390625" style="10" customWidth="1"/>
    <col min="15" max="15" width="12.125" style="2" customWidth="1"/>
    <col min="16" max="17" width="0" style="15" hidden="1" customWidth="1"/>
    <col min="18" max="18" width="12.75390625" style="2" hidden="1" customWidth="1"/>
    <col min="19" max="19" width="11.25390625" style="2" bestFit="1" customWidth="1"/>
    <col min="20" max="20" width="26.75390625" style="0" customWidth="1"/>
    <col min="21" max="21" width="11.875" style="0" customWidth="1"/>
    <col min="24" max="25" width="13.125" style="15" customWidth="1"/>
    <col min="26" max="26" width="12.625" style="0" customWidth="1"/>
    <col min="31" max="32" width="12.00390625" style="0" bestFit="1" customWidth="1"/>
    <col min="33" max="33" width="21.875" style="0" customWidth="1"/>
    <col min="34" max="34" width="12.00390625" style="0" bestFit="1" customWidth="1"/>
    <col min="36" max="36" width="12.00390625" style="0" bestFit="1" customWidth="1"/>
  </cols>
  <sheetData>
    <row r="1" spans="6:9" ht="12.75">
      <c r="F1" s="4" t="s">
        <v>57</v>
      </c>
      <c r="G1"/>
      <c r="I1" s="4" t="s">
        <v>57</v>
      </c>
    </row>
    <row r="2" spans="6:10" ht="12.75">
      <c r="F2">
        <v>6378137</v>
      </c>
      <c r="G2" t="s">
        <v>58</v>
      </c>
      <c r="I2">
        <v>6378137</v>
      </c>
      <c r="J2" t="s">
        <v>58</v>
      </c>
    </row>
    <row r="3" spans="6:10" ht="15">
      <c r="F3">
        <v>0.006694381317</v>
      </c>
      <c r="G3" t="s">
        <v>59</v>
      </c>
      <c r="I3">
        <v>0.006694381317</v>
      </c>
      <c r="J3" t="s">
        <v>59</v>
      </c>
    </row>
    <row r="4" spans="6:33" ht="12.75">
      <c r="F4">
        <f>SQRT(F3)</f>
        <v>0.08181919895110194</v>
      </c>
      <c r="G4" t="s">
        <v>60</v>
      </c>
      <c r="I4">
        <f>SQRT(I3)</f>
        <v>0.08181919895110194</v>
      </c>
      <c r="J4" t="s">
        <v>60</v>
      </c>
      <c r="AC4" s="10"/>
      <c r="AD4" s="10"/>
      <c r="AE4" s="2"/>
      <c r="AG4">
        <f>MAX(AG12:AG148)</f>
        <v>8.49648969032894E-10</v>
      </c>
    </row>
    <row r="5" spans="1:33" ht="15">
      <c r="A5" s="5" t="s">
        <v>77</v>
      </c>
      <c r="AC5" s="10"/>
      <c r="AD5" s="10"/>
      <c r="AE5" s="2"/>
      <c r="AG5">
        <f>MIN(AG13:AG148)</f>
        <v>8.445487933677385E-10</v>
      </c>
    </row>
    <row r="8" spans="4:33" ht="12.75">
      <c r="D8" s="27" t="s">
        <v>14</v>
      </c>
      <c r="E8" s="28"/>
      <c r="AG8">
        <f>AVERAGE(AG12:AG148)</f>
        <v>8.463617319719817E-10</v>
      </c>
    </row>
    <row r="9" spans="2:25" ht="15">
      <c r="B9" s="27" t="s">
        <v>5</v>
      </c>
      <c r="C9" s="28"/>
      <c r="D9" s="21" t="s">
        <v>15</v>
      </c>
      <c r="E9" s="21" t="s">
        <v>16</v>
      </c>
      <c r="F9" s="6" t="s">
        <v>69</v>
      </c>
      <c r="G9" s="6" t="s">
        <v>68</v>
      </c>
      <c r="H9" s="6" t="s">
        <v>61</v>
      </c>
      <c r="I9" s="6" t="s">
        <v>62</v>
      </c>
      <c r="J9" s="6" t="s">
        <v>63</v>
      </c>
      <c r="K9" s="6" t="s">
        <v>64</v>
      </c>
      <c r="L9" s="11" t="s">
        <v>65</v>
      </c>
      <c r="M9" s="11" t="s">
        <v>66</v>
      </c>
      <c r="N9" s="11" t="s">
        <v>67</v>
      </c>
      <c r="O9" s="6" t="s">
        <v>79</v>
      </c>
      <c r="P9" s="16" t="s">
        <v>71</v>
      </c>
      <c r="Q9" s="16" t="s">
        <v>72</v>
      </c>
      <c r="R9" s="6" t="s">
        <v>73</v>
      </c>
      <c r="S9" s="6" t="s">
        <v>80</v>
      </c>
      <c r="T9" s="8"/>
      <c r="U9" s="18" t="s">
        <v>113</v>
      </c>
      <c r="V9" s="18" t="s">
        <v>114</v>
      </c>
      <c r="W9" s="8" t="s">
        <v>73</v>
      </c>
      <c r="X9" s="16" t="s">
        <v>115</v>
      </c>
      <c r="Y9" s="16"/>
    </row>
    <row r="10" spans="2:33" ht="12.75">
      <c r="B10" s="20" t="s">
        <v>4</v>
      </c>
      <c r="C10" s="20" t="s">
        <v>3</v>
      </c>
      <c r="D10" s="20" t="s">
        <v>17</v>
      </c>
      <c r="E10" s="20" t="s">
        <v>3</v>
      </c>
      <c r="F10" s="22" t="s">
        <v>112</v>
      </c>
      <c r="G10" s="22" t="s">
        <v>112</v>
      </c>
      <c r="H10" s="6"/>
      <c r="I10" s="6"/>
      <c r="J10" s="6"/>
      <c r="K10" s="6"/>
      <c r="L10" s="11"/>
      <c r="M10" s="11"/>
      <c r="N10" s="11"/>
      <c r="O10" s="22" t="s">
        <v>112</v>
      </c>
      <c r="P10" s="16"/>
      <c r="Q10" s="16"/>
      <c r="R10" s="22" t="s">
        <v>112</v>
      </c>
      <c r="S10" s="22" t="s">
        <v>112</v>
      </c>
      <c r="T10" s="8"/>
      <c r="U10" s="8"/>
      <c r="V10" s="8"/>
      <c r="W10" s="8"/>
      <c r="X10" s="16"/>
      <c r="Y10" s="16"/>
      <c r="Z10" t="s">
        <v>118</v>
      </c>
      <c r="AA10" t="s">
        <v>125</v>
      </c>
      <c r="AB10" t="s">
        <v>121</v>
      </c>
      <c r="AC10" t="s">
        <v>119</v>
      </c>
      <c r="AD10" t="s">
        <v>120</v>
      </c>
      <c r="AE10" t="s">
        <v>122</v>
      </c>
      <c r="AF10" t="s">
        <v>123</v>
      </c>
      <c r="AG10" t="s">
        <v>124</v>
      </c>
    </row>
    <row r="11" spans="1:25" ht="12.75">
      <c r="A11" s="1" t="s">
        <v>0</v>
      </c>
      <c r="F11" s="7"/>
      <c r="G11" s="7"/>
      <c r="H11" s="4"/>
      <c r="I11" s="4"/>
      <c r="J11" s="4"/>
      <c r="K11" s="4"/>
      <c r="L11" s="12"/>
      <c r="M11" s="12"/>
      <c r="N11" s="12"/>
      <c r="O11" s="7"/>
      <c r="P11" s="17"/>
      <c r="T11" s="1" t="s">
        <v>0</v>
      </c>
      <c r="Y11" s="15" t="str">
        <f>T11</f>
        <v>Alaska</v>
      </c>
    </row>
    <row r="12" spans="1:35" ht="12.75">
      <c r="A12" t="s">
        <v>1</v>
      </c>
      <c r="B12" s="2">
        <v>51.5</v>
      </c>
      <c r="C12" s="2">
        <v>53.5</v>
      </c>
      <c r="D12" s="2">
        <v>176</v>
      </c>
      <c r="E12" s="2">
        <v>51</v>
      </c>
      <c r="F12" s="2">
        <v>1000000</v>
      </c>
      <c r="G12" s="2">
        <v>0</v>
      </c>
      <c r="H12">
        <f>COS(torad(B12))/(SQRT(1-$I$3*SIN(torad(B12))^2))</f>
        <v>0.6192336329836607</v>
      </c>
      <c r="I12">
        <f>COS(torad(C12))/(SQRT(1-$I$3*SIN(torad(C12))^2))</f>
        <v>0.5914277047382178</v>
      </c>
      <c r="J12">
        <f>TAN(PI()/4-torad(B12)/2)/POWER(((1-$I$4*SIN(torad(B12)))/(1+$I$4*SIN(torad(B12)))),$I$4/2)</f>
        <v>0.3477834861723974</v>
      </c>
      <c r="K12">
        <f>TAN(PI()/4-torad(C12)/2)/POWER(((1-$I$4*SIN(torad(C12)))/(1+$I$4*SIN(torad(C12)))),$I$4/2)</f>
        <v>0.32830050249884407</v>
      </c>
      <c r="L12" s="10">
        <f>(LN(I12)-LN(H12))/(LN(K12)-LN(J12))</f>
        <v>0.7969223894883766</v>
      </c>
      <c r="M12" s="10">
        <f>TAN(PI()/4-torad(E12)/2)/POWER(((1-$I$4*SIN(torad(E12)))/(1+$I$4*SIN(torad(E12)))),$I$4/2)</f>
        <v>0.35596818098566557</v>
      </c>
      <c r="N12" s="10">
        <f>H12/(L12*POWER(J12,L12))</f>
        <v>1.8029333427086636</v>
      </c>
      <c r="O12" s="2">
        <f>$I$2*N12*POWER(M12,L12)</f>
        <v>5048740.384896165</v>
      </c>
      <c r="P12" s="15">
        <f aca="true" t="shared" si="0" ref="P12:P79">DEGREES(ASIN(L12))</f>
        <v>52.837209091656334</v>
      </c>
      <c r="Q12" s="15">
        <f>TAN(PI()/4-RADIANS(P12)/2)/POWER(((1-$I$4*SIN(RADIANS(P12)))/(1+$I$4*SIN(RADIANS(P12)))),$I$4/2)</f>
        <v>0.3379765534407448</v>
      </c>
      <c r="R12" s="2">
        <f>$I$2*N12*Q12^L12</f>
        <v>4844318.3534848085</v>
      </c>
      <c r="S12" s="2">
        <f>O12-R12+G12</f>
        <v>204422.0314113563</v>
      </c>
      <c r="T12" t="s">
        <v>1</v>
      </c>
      <c r="U12">
        <f>$F$2/SQRT(1-$F$3*SIN(RADIANS(P12))^2)</f>
        <v>6391738.720936093</v>
      </c>
      <c r="V12">
        <f>$F$2*(1-$F$3)/(1-$F$3*SIN(RADIANS(P12))^2)^1.5</f>
        <v>6376057.814431621</v>
      </c>
      <c r="W12">
        <f>SQRT(U12*V12)</f>
        <v>6383893.453013587</v>
      </c>
      <c r="X12" s="19">
        <f>1/(2*W12^2)*206268</f>
        <v>2.5306413608852186E-09</v>
      </c>
      <c r="Y12" s="15" t="str">
        <f aca="true" t="shared" si="1" ref="Y12:Y54">T12</f>
        <v>Zone 10</v>
      </c>
      <c r="Z12">
        <f>L12*R12/U12/COS(RADIANS(P12))</f>
        <v>0.9998480599909795</v>
      </c>
      <c r="AA12">
        <f>W12*Z12</f>
        <v>6382923.484184749</v>
      </c>
      <c r="AB12" s="2">
        <f>S12</f>
        <v>204422.0314113563</v>
      </c>
      <c r="AC12">
        <f>todms(RADIANS(P12))</f>
        <v>52.50139527293448</v>
      </c>
      <c r="AD12">
        <f>TAN(RADIANS(P12))</f>
        <v>1.3192294753914995</v>
      </c>
      <c r="AE12">
        <f>1/(2*AA12^2)</f>
        <v>1.2272434636145786E-14</v>
      </c>
      <c r="AF12">
        <f>AD12/6/AA12^3</f>
        <v>8.454933201551578E-22</v>
      </c>
      <c r="AG12" s="26">
        <f>1/(6*AA12^2)*206265</f>
        <v>8.437912434082036E-10</v>
      </c>
      <c r="AH12" s="2"/>
      <c r="AI12" s="2"/>
    </row>
    <row r="13" spans="24:34" ht="12.75">
      <c r="X13" s="19"/>
      <c r="AB13" s="2"/>
      <c r="AG13" s="26"/>
      <c r="AH13" s="2"/>
    </row>
    <row r="14" spans="1:34" ht="12.75">
      <c r="A14" s="1" t="s">
        <v>2</v>
      </c>
      <c r="T14" s="1" t="s">
        <v>2</v>
      </c>
      <c r="X14" s="19"/>
      <c r="Y14" s="15" t="str">
        <f t="shared" si="1"/>
        <v>Arkansas</v>
      </c>
      <c r="AB14" s="2"/>
      <c r="AG14" s="26"/>
      <c r="AH14" s="2"/>
    </row>
    <row r="15" spans="1:35" ht="12.75">
      <c r="A15" t="s">
        <v>3</v>
      </c>
      <c r="B15" s="2">
        <v>34.56</v>
      </c>
      <c r="C15" s="2">
        <v>36.14</v>
      </c>
      <c r="D15" s="2">
        <v>92</v>
      </c>
      <c r="E15" s="2">
        <v>34.2</v>
      </c>
      <c r="F15" s="2">
        <v>400000</v>
      </c>
      <c r="G15" s="2">
        <v>0</v>
      </c>
      <c r="H15">
        <f aca="true" t="shared" si="2" ref="H15:I76">COS(torad(B15))/(SQRT(1-$I$3*SIN(torad(B15))^2))</f>
        <v>0.8207201390753086</v>
      </c>
      <c r="I15">
        <f t="shared" si="2"/>
        <v>0.8075614960363658</v>
      </c>
      <c r="J15">
        <f aca="true" t="shared" si="3" ref="J15:K76">TAN(PI()/4-torad(B15)/2)/POWER(((1-$I$4*SIN(torad(B15)))/(1+$I$4*SIN(torad(B15)))),$I$4/2)</f>
        <v>0.5233103658006693</v>
      </c>
      <c r="K15">
        <f t="shared" si="3"/>
        <v>0.5089747916578135</v>
      </c>
      <c r="L15" s="10">
        <f aca="true" t="shared" si="4" ref="L15:L76">(LN(I15)-LN(H15))/(LN(K15)-LN(J15))</f>
        <v>0.5818991280412104</v>
      </c>
      <c r="M15" s="10">
        <f aca="true" t="shared" si="5" ref="M15:M76">TAN(PI()/4-torad(E15)/2)/POWER(((1-$I$4*SIN(torad(E15)))/(1+$I$4*SIN(torad(E15)))),$I$4/2)</f>
        <v>0.5299826028986623</v>
      </c>
      <c r="N15" s="10">
        <f aca="true" t="shared" si="6" ref="N15:N76">H15/(L15*POWER(J15,L15))</f>
        <v>2.055895710120888</v>
      </c>
      <c r="O15" s="2">
        <f aca="true" t="shared" si="7" ref="O15:O76">$I$2*N15*POWER(M15,L15)</f>
        <v>9062395.199945902</v>
      </c>
      <c r="P15" s="15">
        <f t="shared" si="0"/>
        <v>35.584228344524576</v>
      </c>
      <c r="Q15" s="15">
        <f aca="true" t="shared" si="8" ref="Q15:Q81">TAN(PI()/4-RADIANS(P15)/2)/POWER(((1-$I$4*SIN(RADIANS(P15)))/(1+$I$4*SIN(RADIANS(P15)))),$I$4/2)</f>
        <v>0.5161122863146157</v>
      </c>
      <c r="R15" s="2">
        <f aca="true" t="shared" si="9" ref="R15:R81">$I$2*N15*Q15^L15</f>
        <v>8923619.071550017</v>
      </c>
      <c r="S15" s="2">
        <f aca="true" t="shared" si="10" ref="S15:S81">O15-R15+G15</f>
        <v>138776.12839588523</v>
      </c>
      <c r="T15" t="s">
        <v>3</v>
      </c>
      <c r="U15">
        <f aca="true" t="shared" si="11" ref="U15:U81">$F$2/SQRT(1-$F$3*SIN(RADIANS(P15))^2)</f>
        <v>6385378.171057064</v>
      </c>
      <c r="V15">
        <f aca="true" t="shared" si="12" ref="V15:V81">$F$2*(1-$F$3)/(1-$F$3*SIN(RADIANS(P15))^2)^1.5</f>
        <v>6357041.9136382565</v>
      </c>
      <c r="W15">
        <f aca="true" t="shared" si="13" ref="W15:W81">SQRT(U15*V15)</f>
        <v>6371194.288972872</v>
      </c>
      <c r="X15" s="19">
        <f aca="true" t="shared" si="14" ref="X15:X81">1/(2*W15^2)*206268</f>
        <v>2.5407396427225187E-09</v>
      </c>
      <c r="Y15" s="15" t="str">
        <f t="shared" si="1"/>
        <v>North</v>
      </c>
      <c r="Z15">
        <f>L15*R15/U15/COS(RADIANS(P15))</f>
        <v>0.9999359353480655</v>
      </c>
      <c r="AA15">
        <f>W15*Z15</f>
        <v>6370786.120628342</v>
      </c>
      <c r="AB15" s="2">
        <f>S15</f>
        <v>138776.12839588523</v>
      </c>
      <c r="AC15">
        <f>todms(RADIANS(P15))</f>
        <v>35.350322203987226</v>
      </c>
      <c r="AD15">
        <f>TAN(RADIANS(P15))</f>
        <v>0.7155134080502616</v>
      </c>
      <c r="AE15">
        <f aca="true" t="shared" si="15" ref="AE15:AE54">1/(2*AA15^2)</f>
        <v>1.2319241070891481E-14</v>
      </c>
      <c r="AF15">
        <f aca="true" t="shared" si="16" ref="AF15:AF54">AD15/6/AA15^3</f>
        <v>4.611980372241696E-22</v>
      </c>
      <c r="AG15" s="26">
        <f aca="true" t="shared" si="17" ref="AG15:AG76">1/(6*AA15^2)*206265</f>
        <v>8.470094198291438E-10</v>
      </c>
      <c r="AH15" s="2"/>
      <c r="AI15" s="2"/>
    </row>
    <row r="16" spans="1:34" ht="12.75">
      <c r="A16" t="s">
        <v>4</v>
      </c>
      <c r="B16" s="2">
        <v>33.18</v>
      </c>
      <c r="C16" s="2">
        <v>34.46</v>
      </c>
      <c r="D16" s="2">
        <v>92</v>
      </c>
      <c r="E16" s="2">
        <v>32.4</v>
      </c>
      <c r="F16" s="2">
        <v>400000</v>
      </c>
      <c r="G16" s="2">
        <v>400000</v>
      </c>
      <c r="H16">
        <f t="shared" si="2"/>
        <v>0.8366519112381972</v>
      </c>
      <c r="I16">
        <f t="shared" si="2"/>
        <v>0.8223766618711863</v>
      </c>
      <c r="J16">
        <f t="shared" si="3"/>
        <v>0.5415588329493809</v>
      </c>
      <c r="K16">
        <f t="shared" si="3"/>
        <v>0.5251601754896864</v>
      </c>
      <c r="L16" s="10">
        <f t="shared" si="4"/>
        <v>0.5596906868328891</v>
      </c>
      <c r="M16" s="10">
        <f t="shared" si="5"/>
        <v>0.5487084460440204</v>
      </c>
      <c r="N16" s="10">
        <f t="shared" si="6"/>
        <v>2.107039997222519</v>
      </c>
      <c r="O16" s="2">
        <f t="shared" si="7"/>
        <v>9604584.230767364</v>
      </c>
      <c r="P16" s="15">
        <f t="shared" si="0"/>
        <v>34.03440937566999</v>
      </c>
      <c r="Q16" s="15">
        <f t="shared" si="8"/>
        <v>0.533320211039653</v>
      </c>
      <c r="R16" s="2">
        <f t="shared" si="9"/>
        <v>9452884.970496377</v>
      </c>
      <c r="S16" s="2">
        <f t="shared" si="10"/>
        <v>551699.2602709867</v>
      </c>
      <c r="T16" t="s">
        <v>4</v>
      </c>
      <c r="U16">
        <f t="shared" si="11"/>
        <v>6384835.139094722</v>
      </c>
      <c r="V16">
        <f t="shared" si="12"/>
        <v>6355420.185080078</v>
      </c>
      <c r="W16">
        <f t="shared" si="13"/>
        <v>6370110.68360756</v>
      </c>
      <c r="X16" s="19">
        <f t="shared" si="14"/>
        <v>2.5416041153862956E-09</v>
      </c>
      <c r="Y16" s="15" t="str">
        <f t="shared" si="1"/>
        <v>South</v>
      </c>
      <c r="Z16">
        <f>L16*R16/U16/COS(RADIANS(P16))</f>
        <v>0.9999184695330896</v>
      </c>
      <c r="AA16">
        <f>W16*Z16</f>
        <v>6369591.325509254</v>
      </c>
      <c r="AB16" s="2">
        <f>S16</f>
        <v>551699.2602709867</v>
      </c>
      <c r="AC16">
        <f>todms(RADIANS(P16))</f>
        <v>34.020387375201395</v>
      </c>
      <c r="AD16">
        <f>TAN(RADIANS(P16))</f>
        <v>0.6753826583557212</v>
      </c>
      <c r="AE16">
        <f t="shared" si="15"/>
        <v>1.2323863141233958E-14</v>
      </c>
      <c r="AF16">
        <f t="shared" si="16"/>
        <v>4.355760060672979E-22</v>
      </c>
      <c r="AG16" s="26">
        <f t="shared" si="17"/>
        <v>8.473272102755408E-10</v>
      </c>
      <c r="AH16" s="2"/>
    </row>
    <row r="17" spans="24:34" ht="12.75">
      <c r="X17" s="19"/>
      <c r="AB17" s="2"/>
      <c r="AG17" s="26"/>
      <c r="AH17" s="2"/>
    </row>
    <row r="18" spans="1:35" ht="12.75">
      <c r="A18" s="1" t="s">
        <v>6</v>
      </c>
      <c r="T18" s="1" t="s">
        <v>6</v>
      </c>
      <c r="X18" s="19"/>
      <c r="Y18" s="15" t="str">
        <f t="shared" si="1"/>
        <v>California</v>
      </c>
      <c r="AB18" s="2"/>
      <c r="AG18" s="26"/>
      <c r="AH18" s="2"/>
      <c r="AI18" s="2"/>
    </row>
    <row r="19" spans="1:35" ht="12.75">
      <c r="A19" t="s">
        <v>7</v>
      </c>
      <c r="B19" s="2">
        <v>40</v>
      </c>
      <c r="C19" s="2">
        <v>41.4</v>
      </c>
      <c r="D19" s="2">
        <v>122</v>
      </c>
      <c r="E19" s="2">
        <v>39.2</v>
      </c>
      <c r="F19" s="2">
        <v>2000000</v>
      </c>
      <c r="G19" s="2">
        <v>500000</v>
      </c>
      <c r="H19">
        <f t="shared" si="2"/>
        <v>0.7671060689678336</v>
      </c>
      <c r="I19">
        <f t="shared" si="2"/>
        <v>0.748132605671826</v>
      </c>
      <c r="J19">
        <f t="shared" si="3"/>
        <v>0.46832039493254546</v>
      </c>
      <c r="K19">
        <f t="shared" si="3"/>
        <v>0.45072212927332644</v>
      </c>
      <c r="L19" s="10">
        <f t="shared" si="4"/>
        <v>0.6538843054023342</v>
      </c>
      <c r="M19" s="10">
        <f t="shared" si="5"/>
        <v>0.4754246078092281</v>
      </c>
      <c r="N19" s="10">
        <f t="shared" si="6"/>
        <v>1.9265541492417526</v>
      </c>
      <c r="O19" s="2">
        <f t="shared" si="7"/>
        <v>7556554.642750134</v>
      </c>
      <c r="P19" s="15">
        <f t="shared" si="0"/>
        <v>40.83510612509585</v>
      </c>
      <c r="Q19" s="15">
        <f t="shared" si="8"/>
        <v>0.4594740194908542</v>
      </c>
      <c r="R19" s="2">
        <f t="shared" si="9"/>
        <v>7389802.061753115</v>
      </c>
      <c r="S19" s="2">
        <f t="shared" si="10"/>
        <v>666752.5809970191</v>
      </c>
      <c r="T19" t="s">
        <v>7</v>
      </c>
      <c r="U19">
        <f t="shared" si="11"/>
        <v>6387284.652351272</v>
      </c>
      <c r="V19">
        <f t="shared" si="12"/>
        <v>6362737.67671053</v>
      </c>
      <c r="W19">
        <f t="shared" si="13"/>
        <v>6374999.349756073</v>
      </c>
      <c r="X19" s="19">
        <f t="shared" si="14"/>
        <v>2.537707553442958E-09</v>
      </c>
      <c r="Y19" s="15" t="str">
        <f t="shared" si="1"/>
        <v>I</v>
      </c>
      <c r="Z19">
        <f aca="true" t="shared" si="18" ref="Z19:Z24">L19*R19/U19/COS(RADIANS(P19))</f>
        <v>0.9998946365614941</v>
      </c>
      <c r="AA19">
        <f aca="true" t="shared" si="19" ref="AA19:AA24">W19*Z19</f>
        <v>6374327.65790411</v>
      </c>
      <c r="AB19" s="2">
        <f aca="true" t="shared" si="20" ref="AB19:AB24">S19</f>
        <v>666752.5809970191</v>
      </c>
      <c r="AC19">
        <f aca="true" t="shared" si="21" ref="AC19:AC24">todms(RADIANS(P19))</f>
        <v>40.50063820498674</v>
      </c>
      <c r="AD19">
        <f aca="true" t="shared" si="22" ref="AD19:AD24">TAN(RADIANS(P19))</f>
        <v>0.864246648652787</v>
      </c>
      <c r="AE19">
        <f t="shared" si="15"/>
        <v>1.2305555884378921E-14</v>
      </c>
      <c r="AF19">
        <f t="shared" si="16"/>
        <v>5.561389375027768E-22</v>
      </c>
      <c r="AG19" s="26">
        <f t="shared" si="17"/>
        <v>8.460684948304728E-10</v>
      </c>
      <c r="AH19" s="2"/>
      <c r="AI19" s="2"/>
    </row>
    <row r="20" spans="1:33" ht="12.75">
      <c r="A20" t="s">
        <v>8</v>
      </c>
      <c r="B20" s="2">
        <v>38.2</v>
      </c>
      <c r="C20" s="2">
        <v>39.5</v>
      </c>
      <c r="D20" s="2">
        <v>122</v>
      </c>
      <c r="E20" s="2">
        <v>37.4</v>
      </c>
      <c r="F20" s="2">
        <v>2000000</v>
      </c>
      <c r="G20" s="2">
        <v>500000</v>
      </c>
      <c r="H20">
        <f t="shared" si="2"/>
        <v>0.7854276631397717</v>
      </c>
      <c r="I20">
        <f t="shared" si="2"/>
        <v>0.7689678155291704</v>
      </c>
      <c r="J20">
        <f t="shared" si="3"/>
        <v>0.4861529195549166</v>
      </c>
      <c r="K20">
        <f t="shared" si="3"/>
        <v>0.4700929043190102</v>
      </c>
      <c r="L20" s="10">
        <f t="shared" si="4"/>
        <v>0.6304683352873008</v>
      </c>
      <c r="M20" s="10">
        <f t="shared" si="5"/>
        <v>0.49335429647729767</v>
      </c>
      <c r="N20" s="10">
        <f t="shared" si="6"/>
        <v>1.9630107742442149</v>
      </c>
      <c r="O20" s="2">
        <f t="shared" si="7"/>
        <v>8019788.932587962</v>
      </c>
      <c r="P20" s="15">
        <f t="shared" si="0"/>
        <v>39.084683922013525</v>
      </c>
      <c r="Q20" s="15">
        <f t="shared" si="8"/>
        <v>0.4780840496069485</v>
      </c>
      <c r="R20" s="2">
        <f t="shared" si="9"/>
        <v>7862381.404643626</v>
      </c>
      <c r="S20" s="2">
        <f t="shared" si="10"/>
        <v>657407.5279443357</v>
      </c>
      <c r="T20" t="s">
        <v>8</v>
      </c>
      <c r="U20">
        <f t="shared" si="11"/>
        <v>6386639.930698574</v>
      </c>
      <c r="V20">
        <f t="shared" si="12"/>
        <v>6360811.139416873</v>
      </c>
      <c r="W20">
        <f t="shared" si="13"/>
        <v>6373712.451517725</v>
      </c>
      <c r="X20" s="19">
        <f t="shared" si="14"/>
        <v>2.5387324195931454E-09</v>
      </c>
      <c r="Y20" s="15" t="str">
        <f t="shared" si="1"/>
        <v>II</v>
      </c>
      <c r="Z20">
        <f t="shared" si="18"/>
        <v>0.9999146729769294</v>
      </c>
      <c r="AA20">
        <f t="shared" si="19"/>
        <v>6373168.601608329</v>
      </c>
      <c r="AB20" s="2">
        <f t="shared" si="20"/>
        <v>657407.5279443357</v>
      </c>
      <c r="AC20">
        <f t="shared" si="21"/>
        <v>39.050486211879154</v>
      </c>
      <c r="AD20">
        <f t="shared" si="22"/>
        <v>0.812234188226248</v>
      </c>
      <c r="AE20">
        <f t="shared" si="15"/>
        <v>1.2310032191179349E-14</v>
      </c>
      <c r="AF20">
        <f t="shared" si="16"/>
        <v>5.229543642973392E-22</v>
      </c>
      <c r="AG20" s="26">
        <f t="shared" si="17"/>
        <v>8.463762633045361E-10</v>
      </c>
    </row>
    <row r="21" spans="1:33" ht="12.75">
      <c r="A21" t="s">
        <v>9</v>
      </c>
      <c r="B21" s="2">
        <v>37.04</v>
      </c>
      <c r="C21" s="2">
        <v>38.26</v>
      </c>
      <c r="D21" s="2">
        <v>120.3</v>
      </c>
      <c r="E21" s="2">
        <v>36.3</v>
      </c>
      <c r="F21" s="2">
        <v>2000000</v>
      </c>
      <c r="G21" s="2">
        <v>500000</v>
      </c>
      <c r="H21">
        <f t="shared" si="2"/>
        <v>0.7989068160234557</v>
      </c>
      <c r="I21">
        <f t="shared" si="2"/>
        <v>0.7843470276531933</v>
      </c>
      <c r="J21">
        <f t="shared" si="3"/>
        <v>0.49986996321774735</v>
      </c>
      <c r="K21">
        <f t="shared" si="3"/>
        <v>0.48507613726447657</v>
      </c>
      <c r="L21" s="10">
        <f t="shared" si="4"/>
        <v>0.6122320382961612</v>
      </c>
      <c r="M21" s="10">
        <f t="shared" si="5"/>
        <v>0.506054167305865</v>
      </c>
      <c r="N21" s="10">
        <f t="shared" si="6"/>
        <v>1.9950300488048955</v>
      </c>
      <c r="O21" s="2">
        <f t="shared" si="7"/>
        <v>8385775.17420949</v>
      </c>
      <c r="P21" s="15">
        <f t="shared" si="0"/>
        <v>37.75106943641029</v>
      </c>
      <c r="Q21" s="15">
        <f t="shared" si="8"/>
        <v>0.4924403617259181</v>
      </c>
      <c r="R21" s="2">
        <f t="shared" si="9"/>
        <v>8246930.370343425</v>
      </c>
      <c r="S21" s="2">
        <f t="shared" si="10"/>
        <v>638844.8038660651</v>
      </c>
      <c r="T21" t="s">
        <v>9</v>
      </c>
      <c r="U21">
        <f t="shared" si="11"/>
        <v>6386154.235733306</v>
      </c>
      <c r="V21">
        <f t="shared" si="12"/>
        <v>6359360.057608912</v>
      </c>
      <c r="W21">
        <f t="shared" si="13"/>
        <v>6372743.064681986</v>
      </c>
      <c r="X21" s="19">
        <f t="shared" si="14"/>
        <v>2.539504834529702E-09</v>
      </c>
      <c r="Y21" s="15" t="str">
        <f t="shared" si="1"/>
        <v>III</v>
      </c>
      <c r="Z21">
        <f t="shared" si="18"/>
        <v>0.999929178853543</v>
      </c>
      <c r="AA21">
        <f t="shared" si="19"/>
        <v>6372291.73971207</v>
      </c>
      <c r="AB21" s="2">
        <f t="shared" si="20"/>
        <v>638844.8038660651</v>
      </c>
      <c r="AC21">
        <f t="shared" si="21"/>
        <v>37.45038499706355</v>
      </c>
      <c r="AD21">
        <f t="shared" si="22"/>
        <v>0.7743125834955924</v>
      </c>
      <c r="AE21">
        <f t="shared" si="15"/>
        <v>1.231342027863084E-14</v>
      </c>
      <c r="AF21">
        <f t="shared" si="16"/>
        <v>4.987444945013598E-22</v>
      </c>
      <c r="AG21" s="26">
        <f t="shared" si="17"/>
        <v>8.466092112572635E-10</v>
      </c>
    </row>
    <row r="22" spans="1:33" ht="12.75">
      <c r="A22" t="s">
        <v>10</v>
      </c>
      <c r="B22" s="2">
        <v>36</v>
      </c>
      <c r="C22" s="2">
        <v>37.15</v>
      </c>
      <c r="D22" s="2">
        <v>119</v>
      </c>
      <c r="E22" s="2">
        <v>35.2</v>
      </c>
      <c r="F22" s="2">
        <v>2000000</v>
      </c>
      <c r="G22" s="2">
        <v>500000</v>
      </c>
      <c r="H22">
        <f t="shared" si="2"/>
        <v>0.8099541886117826</v>
      </c>
      <c r="I22">
        <f t="shared" si="2"/>
        <v>0.7969799761181979</v>
      </c>
      <c r="J22">
        <f t="shared" si="3"/>
        <v>0.5115358637349322</v>
      </c>
      <c r="K22">
        <f t="shared" si="3"/>
        <v>0.4978755659002521</v>
      </c>
      <c r="L22" s="10">
        <f t="shared" si="4"/>
        <v>0.596587149882159</v>
      </c>
      <c r="M22" s="10">
        <f t="shared" si="5"/>
        <v>0.5188819733709219</v>
      </c>
      <c r="N22" s="10">
        <f t="shared" si="6"/>
        <v>2.025197330364854</v>
      </c>
      <c r="O22" s="2">
        <f t="shared" si="7"/>
        <v>8733227.381151646</v>
      </c>
      <c r="P22" s="15">
        <f t="shared" si="0"/>
        <v>36.6258593072305</v>
      </c>
      <c r="Q22" s="15">
        <f t="shared" si="8"/>
        <v>0.5046780381329529</v>
      </c>
      <c r="R22" s="2">
        <f t="shared" si="9"/>
        <v>8589806.895412281</v>
      </c>
      <c r="S22" s="2">
        <f t="shared" si="10"/>
        <v>643420.4857393652</v>
      </c>
      <c r="T22" t="s">
        <v>10</v>
      </c>
      <c r="U22">
        <f t="shared" si="11"/>
        <v>6385749.003997397</v>
      </c>
      <c r="V22">
        <f t="shared" si="12"/>
        <v>6358149.539870076</v>
      </c>
      <c r="W22">
        <f t="shared" si="13"/>
        <v>6371934.328874698</v>
      </c>
      <c r="X22" s="19">
        <f t="shared" si="14"/>
        <v>2.540149511238994E-09</v>
      </c>
      <c r="Y22" s="15" t="str">
        <f t="shared" si="1"/>
        <v>IV</v>
      </c>
      <c r="Z22">
        <f t="shared" si="18"/>
        <v>0.9999407617030043</v>
      </c>
      <c r="AA22">
        <f t="shared" si="19"/>
        <v>6371556.866336487</v>
      </c>
      <c r="AB22" s="2">
        <f t="shared" si="20"/>
        <v>643420.4857393652</v>
      </c>
      <c r="AC22">
        <f t="shared" si="21"/>
        <v>36.37330935056014</v>
      </c>
      <c r="AD22">
        <f t="shared" si="22"/>
        <v>0.7433660384742421</v>
      </c>
      <c r="AE22">
        <f t="shared" si="15"/>
        <v>1.231626081721314E-14</v>
      </c>
      <c r="AF22">
        <f t="shared" si="16"/>
        <v>4.789771272847206E-22</v>
      </c>
      <c r="AG22" s="26">
        <f t="shared" si="17"/>
        <v>8.468045124874894E-10</v>
      </c>
    </row>
    <row r="23" spans="1:33" ht="12.75">
      <c r="A23" t="s">
        <v>11</v>
      </c>
      <c r="B23" s="2">
        <v>34.02</v>
      </c>
      <c r="C23" s="2">
        <v>35.28</v>
      </c>
      <c r="D23" s="2">
        <v>118</v>
      </c>
      <c r="E23" s="2">
        <v>33.3</v>
      </c>
      <c r="F23" s="2">
        <v>2000000</v>
      </c>
      <c r="G23" s="2">
        <v>500000</v>
      </c>
      <c r="H23">
        <f t="shared" si="2"/>
        <v>0.8295823485698915</v>
      </c>
      <c r="I23">
        <f t="shared" si="2"/>
        <v>0.8153725693650693</v>
      </c>
      <c r="J23">
        <f t="shared" si="3"/>
        <v>0.5333322418047927</v>
      </c>
      <c r="K23">
        <f t="shared" si="3"/>
        <v>0.5174093158730162</v>
      </c>
      <c r="L23" s="10">
        <f t="shared" si="4"/>
        <v>0.5700118961756248</v>
      </c>
      <c r="M23" s="10">
        <f t="shared" si="5"/>
        <v>0.5393097395105494</v>
      </c>
      <c r="N23" s="10">
        <f t="shared" si="6"/>
        <v>2.082524227956162</v>
      </c>
      <c r="O23" s="2">
        <f t="shared" si="7"/>
        <v>9341756.140693579</v>
      </c>
      <c r="P23" s="15">
        <f t="shared" si="0"/>
        <v>34.75105531430074</v>
      </c>
      <c r="Q23" s="15">
        <f t="shared" si="8"/>
        <v>0.5253335845011438</v>
      </c>
      <c r="R23" s="2">
        <f t="shared" si="9"/>
        <v>9202983.111821337</v>
      </c>
      <c r="S23" s="2">
        <f t="shared" si="10"/>
        <v>638773.0288722422</v>
      </c>
      <c r="T23" t="s">
        <v>11</v>
      </c>
      <c r="U23">
        <f t="shared" si="11"/>
        <v>6385084.8640908245</v>
      </c>
      <c r="V23">
        <f t="shared" si="12"/>
        <v>6356165.937784314</v>
      </c>
      <c r="W23">
        <f t="shared" si="13"/>
        <v>6370608.991532622</v>
      </c>
      <c r="X23" s="19">
        <f t="shared" si="14"/>
        <v>2.5412065232747757E-09</v>
      </c>
      <c r="Y23" s="15" t="str">
        <f t="shared" si="1"/>
        <v>V</v>
      </c>
      <c r="Z23">
        <f t="shared" si="18"/>
        <v>0.9999221272090176</v>
      </c>
      <c r="AA23">
        <f t="shared" si="19"/>
        <v>6370112.894430194</v>
      </c>
      <c r="AB23" s="2">
        <f t="shared" si="20"/>
        <v>638773.0288722422</v>
      </c>
      <c r="AC23">
        <f t="shared" si="21"/>
        <v>34.450379913107625</v>
      </c>
      <c r="AD23">
        <f t="shared" si="22"/>
        <v>0.6937519673931295</v>
      </c>
      <c r="AE23">
        <f t="shared" si="15"/>
        <v>1.2321845129634132E-14</v>
      </c>
      <c r="AF23">
        <f t="shared" si="16"/>
        <v>4.473130718542142E-22</v>
      </c>
      <c r="AG23" s="26">
        <f t="shared" si="17"/>
        <v>8.471884618879948E-10</v>
      </c>
    </row>
    <row r="24" spans="1:33" ht="12.75">
      <c r="A24" t="s">
        <v>12</v>
      </c>
      <c r="B24" s="2">
        <v>32.47</v>
      </c>
      <c r="C24" s="2">
        <v>33.53</v>
      </c>
      <c r="D24" s="2">
        <v>116.15</v>
      </c>
      <c r="E24" s="2">
        <v>32.1</v>
      </c>
      <c r="F24" s="2">
        <v>2000000</v>
      </c>
      <c r="G24" s="2">
        <v>500000</v>
      </c>
      <c r="H24">
        <f t="shared" si="2"/>
        <v>0.841550396391274</v>
      </c>
      <c r="I24">
        <f t="shared" si="2"/>
        <v>0.8310395064271391</v>
      </c>
      <c r="J24">
        <f t="shared" si="3"/>
        <v>0.547388250089465</v>
      </c>
      <c r="K24">
        <f t="shared" si="3"/>
        <v>0.5350104777785576</v>
      </c>
      <c r="L24" s="10">
        <f t="shared" si="4"/>
        <v>0.5495175757644275</v>
      </c>
      <c r="M24" s="10">
        <f t="shared" si="5"/>
        <v>0.5543827908189616</v>
      </c>
      <c r="N24" s="10">
        <f t="shared" si="6"/>
        <v>2.1326018413546897</v>
      </c>
      <c r="O24" s="2">
        <f t="shared" si="7"/>
        <v>9836091.791414319</v>
      </c>
      <c r="P24" s="15">
        <f t="shared" si="0"/>
        <v>33.33392294483743</v>
      </c>
      <c r="Q24" s="15">
        <f t="shared" si="8"/>
        <v>0.5411770622024433</v>
      </c>
      <c r="R24" s="2">
        <f t="shared" si="9"/>
        <v>9706640.07807589</v>
      </c>
      <c r="S24" s="2">
        <f t="shared" si="10"/>
        <v>629451.7133384291</v>
      </c>
      <c r="T24" t="s">
        <v>12</v>
      </c>
      <c r="U24">
        <f t="shared" si="11"/>
        <v>6384593.49062237</v>
      </c>
      <c r="V24">
        <f t="shared" si="12"/>
        <v>6354698.606799105</v>
      </c>
      <c r="W24">
        <f t="shared" si="13"/>
        <v>6369628.510347884</v>
      </c>
      <c r="X24" s="19">
        <f t="shared" si="14"/>
        <v>2.5419889227336396E-09</v>
      </c>
      <c r="Y24" s="15" t="str">
        <f t="shared" si="1"/>
        <v>VI</v>
      </c>
      <c r="Z24">
        <f t="shared" si="18"/>
        <v>0.9999541424905435</v>
      </c>
      <c r="AA24">
        <f t="shared" si="19"/>
        <v>6369336.415048236</v>
      </c>
      <c r="AB24" s="2">
        <f t="shared" si="20"/>
        <v>629451.7133384291</v>
      </c>
      <c r="AC24">
        <f t="shared" si="21"/>
        <v>33.20021226010249</v>
      </c>
      <c r="AD24">
        <f t="shared" si="22"/>
        <v>0.6577250889817206</v>
      </c>
      <c r="AE24">
        <f t="shared" si="15"/>
        <v>1.2324849600197203E-14</v>
      </c>
      <c r="AF24">
        <f t="shared" si="16"/>
        <v>4.242390034448949E-22</v>
      </c>
      <c r="AG24" s="26">
        <f t="shared" si="17"/>
        <v>8.473950342615587E-10</v>
      </c>
    </row>
    <row r="25" spans="24:33" ht="12.75">
      <c r="X25" s="19"/>
      <c r="AB25" s="2"/>
      <c r="AG25" s="26"/>
    </row>
    <row r="26" spans="1:33" ht="12.75">
      <c r="A26" s="1" t="s">
        <v>18</v>
      </c>
      <c r="T26" s="1" t="s">
        <v>18</v>
      </c>
      <c r="X26" s="19"/>
      <c r="Y26" s="15" t="str">
        <f t="shared" si="1"/>
        <v>Colorado</v>
      </c>
      <c r="AB26" s="2"/>
      <c r="AG26" s="26"/>
    </row>
    <row r="27" spans="1:33" ht="12.75">
      <c r="A27" t="s">
        <v>3</v>
      </c>
      <c r="B27" s="2">
        <v>39.43</v>
      </c>
      <c r="C27" s="2">
        <v>40.47</v>
      </c>
      <c r="D27" s="2">
        <v>105.3</v>
      </c>
      <c r="E27" s="2">
        <v>39.2</v>
      </c>
      <c r="F27" s="2">
        <v>914401.8289</v>
      </c>
      <c r="G27" s="2">
        <v>304800.6096</v>
      </c>
      <c r="H27">
        <f t="shared" si="2"/>
        <v>0.7702671510126585</v>
      </c>
      <c r="I27">
        <f t="shared" si="2"/>
        <v>0.7582687906328807</v>
      </c>
      <c r="J27">
        <f t="shared" si="3"/>
        <v>0.47133506100675965</v>
      </c>
      <c r="K27">
        <f t="shared" si="3"/>
        <v>0.4600207734651433</v>
      </c>
      <c r="L27" s="10">
        <f t="shared" si="4"/>
        <v>0.6461334568123654</v>
      </c>
      <c r="M27" s="10">
        <f t="shared" si="5"/>
        <v>0.4754246078092281</v>
      </c>
      <c r="N27" s="10">
        <f t="shared" si="6"/>
        <v>1.9381693788507843</v>
      </c>
      <c r="O27" s="2">
        <f t="shared" si="7"/>
        <v>7646051.6264005825</v>
      </c>
      <c r="P27" s="15">
        <f t="shared" si="0"/>
        <v>40.25071145382825</v>
      </c>
      <c r="Q27" s="15">
        <f t="shared" si="8"/>
        <v>0.4656584721875782</v>
      </c>
      <c r="R27" s="2">
        <f t="shared" si="9"/>
        <v>7544194.619249268</v>
      </c>
      <c r="S27" s="2">
        <f t="shared" si="10"/>
        <v>406657.6167513141</v>
      </c>
      <c r="T27" t="s">
        <v>3</v>
      </c>
      <c r="U27">
        <f t="shared" si="11"/>
        <v>6387068.620352967</v>
      </c>
      <c r="V27">
        <f t="shared" si="12"/>
        <v>6362092.093249077</v>
      </c>
      <c r="W27">
        <f t="shared" si="13"/>
        <v>6374568.124083929</v>
      </c>
      <c r="X27" s="19">
        <f t="shared" si="14"/>
        <v>2.5380509058516165E-09</v>
      </c>
      <c r="Y27" s="15" t="str">
        <f t="shared" si="1"/>
        <v>North</v>
      </c>
      <c r="Z27">
        <f>L27*R27/U27/COS(RADIANS(P27))</f>
        <v>0.9999568460634585</v>
      </c>
      <c r="AA27">
        <f>W27*Z27</f>
        <v>6374293.036375622</v>
      </c>
      <c r="AB27" s="2">
        <f>S27</f>
        <v>406657.6167513141</v>
      </c>
      <c r="AC27">
        <f>todms(RADIANS(P27))</f>
        <v>40.15025612333109</v>
      </c>
      <c r="AD27">
        <f>TAN(RADIANS(P27))</f>
        <v>0.8465838058979708</v>
      </c>
      <c r="AE27">
        <f t="shared" si="15"/>
        <v>1.2305689558280693E-14</v>
      </c>
      <c r="AF27">
        <f t="shared" si="16"/>
        <v>5.447818521990257E-22</v>
      </c>
      <c r="AG27" s="26">
        <f t="shared" si="17"/>
        <v>8.460776855795891E-10</v>
      </c>
    </row>
    <row r="28" spans="1:33" ht="12.75">
      <c r="A28" t="s">
        <v>19</v>
      </c>
      <c r="B28" s="2">
        <v>38.27</v>
      </c>
      <c r="C28" s="2">
        <v>39.45</v>
      </c>
      <c r="D28" s="2">
        <v>105.3</v>
      </c>
      <c r="E28" s="2">
        <v>37.5</v>
      </c>
      <c r="F28" s="2">
        <v>914401.8289</v>
      </c>
      <c r="G28" s="2">
        <v>304800.6096</v>
      </c>
      <c r="H28">
        <f t="shared" si="2"/>
        <v>0.7841666885203716</v>
      </c>
      <c r="I28">
        <f t="shared" si="2"/>
        <v>0.7698962393331925</v>
      </c>
      <c r="J28">
        <f t="shared" si="3"/>
        <v>0.4848967596949589</v>
      </c>
      <c r="K28">
        <f t="shared" si="3"/>
        <v>0.4709800411328425</v>
      </c>
      <c r="L28" s="10">
        <f t="shared" si="4"/>
        <v>0.6306895552261991</v>
      </c>
      <c r="M28" s="10">
        <f t="shared" si="5"/>
        <v>0.4915502071192511</v>
      </c>
      <c r="N28" s="10">
        <f t="shared" si="6"/>
        <v>1.9626843759797175</v>
      </c>
      <c r="O28" s="2">
        <f t="shared" si="7"/>
        <v>7998699.74104583</v>
      </c>
      <c r="P28" s="15">
        <f t="shared" si="0"/>
        <v>39.10101501184614</v>
      </c>
      <c r="Q28" s="15">
        <f t="shared" si="8"/>
        <v>0.47790921551892596</v>
      </c>
      <c r="R28" s="2">
        <f t="shared" si="9"/>
        <v>7857977.933729822</v>
      </c>
      <c r="S28" s="2">
        <f t="shared" si="10"/>
        <v>445522.41691600805</v>
      </c>
      <c r="T28" t="s">
        <v>19</v>
      </c>
      <c r="U28">
        <f t="shared" si="11"/>
        <v>6386645.910742845</v>
      </c>
      <c r="V28">
        <f t="shared" si="12"/>
        <v>6360829.007013095</v>
      </c>
      <c r="W28">
        <f t="shared" si="13"/>
        <v>6373724.387402914</v>
      </c>
      <c r="X28" s="19">
        <f t="shared" si="14"/>
        <v>2.5387229111837852E-09</v>
      </c>
      <c r="Y28" s="15" t="str">
        <f t="shared" si="1"/>
        <v>Central</v>
      </c>
      <c r="Z28">
        <f>L28*R28/U28/COS(RADIANS(P28))</f>
        <v>0.9999359097769747</v>
      </c>
      <c r="AA28">
        <f>W28*Z28</f>
        <v>6373315.893985424</v>
      </c>
      <c r="AB28" s="2">
        <f>S28</f>
        <v>445522.41691600805</v>
      </c>
      <c r="AC28">
        <f>todms(RADIANS(P28))</f>
        <v>39.06036540421888</v>
      </c>
      <c r="AD28">
        <f>TAN(RADIANS(P28))</f>
        <v>0.81270737116346</v>
      </c>
      <c r="AE28">
        <f t="shared" si="15"/>
        <v>1.2309463208570684E-14</v>
      </c>
      <c r="AF28">
        <f t="shared" si="16"/>
        <v>5.23222743653828E-22</v>
      </c>
      <c r="AG28" s="26">
        <f t="shared" si="17"/>
        <v>8.463371429052773E-10</v>
      </c>
    </row>
    <row r="29" spans="1:33" ht="12.75">
      <c r="A29" t="s">
        <v>4</v>
      </c>
      <c r="B29" s="2">
        <v>37.14</v>
      </c>
      <c r="C29" s="2">
        <v>38.26</v>
      </c>
      <c r="D29" s="2">
        <v>105.3</v>
      </c>
      <c r="E29" s="2">
        <v>36.4</v>
      </c>
      <c r="F29" s="2">
        <v>914401.8289</v>
      </c>
      <c r="G29" s="2">
        <v>304800.6096</v>
      </c>
      <c r="H29">
        <f t="shared" si="2"/>
        <v>0.7971554818987315</v>
      </c>
      <c r="I29">
        <f t="shared" si="2"/>
        <v>0.7843470276531933</v>
      </c>
      <c r="J29">
        <f t="shared" si="3"/>
        <v>0.4980567469372506</v>
      </c>
      <c r="K29">
        <f t="shared" si="3"/>
        <v>0.48507613726447657</v>
      </c>
      <c r="L29" s="10">
        <f t="shared" si="4"/>
        <v>0.6133780423728515</v>
      </c>
      <c r="M29" s="10">
        <f t="shared" si="5"/>
        <v>0.5042321744547452</v>
      </c>
      <c r="N29" s="10">
        <f t="shared" si="6"/>
        <v>1.9929542627317238</v>
      </c>
      <c r="O29" s="2">
        <f t="shared" si="7"/>
        <v>8352015.407816492</v>
      </c>
      <c r="P29" s="15">
        <f t="shared" si="0"/>
        <v>37.834160270403</v>
      </c>
      <c r="Q29" s="15">
        <f t="shared" si="8"/>
        <v>0.4915412621671787</v>
      </c>
      <c r="R29" s="2">
        <f t="shared" si="9"/>
        <v>8222442.4032231225</v>
      </c>
      <c r="S29" s="2">
        <f t="shared" si="10"/>
        <v>434373.6141933696</v>
      </c>
      <c r="T29" t="s">
        <v>4</v>
      </c>
      <c r="U29">
        <f t="shared" si="11"/>
        <v>6386184.334765452</v>
      </c>
      <c r="V29">
        <f t="shared" si="12"/>
        <v>6359449.976272581</v>
      </c>
      <c r="W29">
        <f t="shared" si="13"/>
        <v>6372803.136469577</v>
      </c>
      <c r="X29" s="19">
        <f t="shared" si="14"/>
        <v>2.539456958619294E-09</v>
      </c>
      <c r="Y29" s="15" t="str">
        <f t="shared" si="1"/>
        <v>South</v>
      </c>
      <c r="Z29">
        <f>L29*R29/U29/COS(RADIANS(P29))</f>
        <v>0.9999453984986449</v>
      </c>
      <c r="AA29">
        <f>W29*Z29</f>
        <v>6372455.171850486</v>
      </c>
      <c r="AB29" s="2">
        <f>S29</f>
        <v>434373.6141933696</v>
      </c>
      <c r="AC29">
        <f>todms(RADIANS(P29))</f>
        <v>37.50029769730083</v>
      </c>
      <c r="AD29">
        <f>TAN(RADIANS(P29))</f>
        <v>0.7766348885593475</v>
      </c>
      <c r="AE29">
        <f t="shared" si="15"/>
        <v>1.2312788690727181E-14</v>
      </c>
      <c r="AF29">
        <f t="shared" si="16"/>
        <v>5.002018329826267E-22</v>
      </c>
      <c r="AG29" s="26">
        <f t="shared" si="17"/>
        <v>8.465657864309473E-10</v>
      </c>
    </row>
    <row r="30" spans="24:33" ht="12.75">
      <c r="X30" s="19"/>
      <c r="AB30" s="2"/>
      <c r="AG30" s="26"/>
    </row>
    <row r="31" spans="1:33" ht="12.75">
      <c r="A31" s="1" t="s">
        <v>20</v>
      </c>
      <c r="B31" s="2">
        <v>41.12</v>
      </c>
      <c r="C31" s="2">
        <v>41.52</v>
      </c>
      <c r="D31" s="2">
        <v>72.45</v>
      </c>
      <c r="E31" s="2">
        <v>40.5</v>
      </c>
      <c r="F31" s="2">
        <v>304800.6096</v>
      </c>
      <c r="G31" s="2">
        <v>152400.3048</v>
      </c>
      <c r="H31">
        <f t="shared" si="2"/>
        <v>0.7535099907687363</v>
      </c>
      <c r="I31">
        <f t="shared" si="2"/>
        <v>0.7458127209848244</v>
      </c>
      <c r="J31">
        <f t="shared" si="3"/>
        <v>0.4556267295106474</v>
      </c>
      <c r="K31">
        <f t="shared" si="3"/>
        <v>0.44862550759259834</v>
      </c>
      <c r="L31" s="10">
        <f t="shared" si="4"/>
        <v>0.6630594575348687</v>
      </c>
      <c r="M31" s="10">
        <f t="shared" si="5"/>
        <v>0.4594927376679833</v>
      </c>
      <c r="N31" s="10">
        <f t="shared" si="6"/>
        <v>1.9138105463531487</v>
      </c>
      <c r="O31" s="2">
        <f t="shared" si="7"/>
        <v>7288924.520841043</v>
      </c>
      <c r="P31" s="15">
        <f t="shared" si="0"/>
        <v>41.53362393486124</v>
      </c>
      <c r="Q31" s="15">
        <f t="shared" si="8"/>
        <v>0.4521186022726184</v>
      </c>
      <c r="R31" s="2">
        <f t="shared" si="9"/>
        <v>7211151.414216305</v>
      </c>
      <c r="S31" s="2">
        <f t="shared" si="10"/>
        <v>230173.41142473833</v>
      </c>
      <c r="T31" s="1" t="s">
        <v>20</v>
      </c>
      <c r="U31">
        <f t="shared" si="11"/>
        <v>6387543.741070981</v>
      </c>
      <c r="V31">
        <f t="shared" si="12"/>
        <v>6363511.9871655</v>
      </c>
      <c r="W31">
        <f t="shared" si="13"/>
        <v>6375516.541022316</v>
      </c>
      <c r="X31" s="19">
        <f t="shared" si="14"/>
        <v>2.537295845014531E-09</v>
      </c>
      <c r="Y31" s="15" t="str">
        <f t="shared" si="1"/>
        <v>Connecticut</v>
      </c>
      <c r="Z31">
        <f>L31*R31/U31/COS(RADIANS(P31))</f>
        <v>0.999983140477929</v>
      </c>
      <c r="AA31">
        <f>W31*Z31</f>
        <v>6375409.052860478</v>
      </c>
      <c r="AB31" s="2">
        <f>S31</f>
        <v>230173.41142473833</v>
      </c>
      <c r="AC31">
        <f>todms(RADIANS(P31))</f>
        <v>41.32010461650147</v>
      </c>
      <c r="AD31">
        <f>TAN(RADIANS(P31))</f>
        <v>0.8857720055002442</v>
      </c>
      <c r="AE31">
        <f t="shared" si="15"/>
        <v>1.230138170908143E-14</v>
      </c>
      <c r="AF31">
        <f t="shared" si="16"/>
        <v>5.697004148561644E-22</v>
      </c>
      <c r="AG31" s="26">
        <f t="shared" si="17"/>
        <v>8.457814994078938E-10</v>
      </c>
    </row>
    <row r="32" spans="24:33" ht="12.75">
      <c r="X32" s="19"/>
      <c r="AB32" s="2"/>
      <c r="AG32" s="26"/>
    </row>
    <row r="33" spans="1:33" ht="12.75">
      <c r="A33" s="1" t="s">
        <v>21</v>
      </c>
      <c r="T33" s="1" t="s">
        <v>21</v>
      </c>
      <c r="X33" s="19"/>
      <c r="Y33" s="15" t="str">
        <f t="shared" si="1"/>
        <v>Florida</v>
      </c>
      <c r="AB33" s="2"/>
      <c r="AG33" s="26"/>
    </row>
    <row r="34" spans="1:33" ht="12.75">
      <c r="A34" t="s">
        <v>3</v>
      </c>
      <c r="B34" s="2">
        <v>29.35</v>
      </c>
      <c r="C34" s="2">
        <v>30.45</v>
      </c>
      <c r="D34" s="2">
        <v>84.3</v>
      </c>
      <c r="E34" s="2">
        <v>29</v>
      </c>
      <c r="F34" s="2">
        <v>600000</v>
      </c>
      <c r="G34" s="2">
        <v>0</v>
      </c>
      <c r="H34">
        <f t="shared" si="2"/>
        <v>0.8703489008155044</v>
      </c>
      <c r="I34">
        <f t="shared" si="2"/>
        <v>0.8601594017726568</v>
      </c>
      <c r="J34">
        <f t="shared" si="3"/>
        <v>0.5841370263836778</v>
      </c>
      <c r="K34">
        <f t="shared" si="3"/>
        <v>0.5706072180626958</v>
      </c>
      <c r="L34" s="10">
        <f t="shared" si="4"/>
        <v>0.5025259026730204</v>
      </c>
      <c r="M34" s="10">
        <f t="shared" si="5"/>
        <v>0.5909608748283792</v>
      </c>
      <c r="N34" s="10">
        <f t="shared" si="6"/>
        <v>2.2691715301873105</v>
      </c>
      <c r="O34" s="2">
        <f t="shared" si="7"/>
        <v>11111265.208608018</v>
      </c>
      <c r="P34" s="15">
        <f t="shared" si="0"/>
        <v>30.167253554149603</v>
      </c>
      <c r="Q34" s="15">
        <f t="shared" si="8"/>
        <v>0.5773459008545209</v>
      </c>
      <c r="R34" s="2">
        <f t="shared" si="9"/>
        <v>10981878.227320533</v>
      </c>
      <c r="S34" s="2">
        <f t="shared" si="10"/>
        <v>129386.98128748499</v>
      </c>
      <c r="T34" t="s">
        <v>3</v>
      </c>
      <c r="U34">
        <f t="shared" si="11"/>
        <v>6383535.116743488</v>
      </c>
      <c r="V34">
        <f t="shared" si="12"/>
        <v>6351538.876030916</v>
      </c>
      <c r="W34">
        <f t="shared" si="13"/>
        <v>6367516.899114192</v>
      </c>
      <c r="X34" s="19">
        <f t="shared" si="14"/>
        <v>2.543675163217563E-09</v>
      </c>
      <c r="Y34" s="15" t="str">
        <f t="shared" si="1"/>
        <v>North</v>
      </c>
      <c r="Z34">
        <f>L34*R34/U34/COS(RADIANS(P34))</f>
        <v>0.9999484327396208</v>
      </c>
      <c r="AA34">
        <f>W34*Z34</f>
        <v>6367188.543712286</v>
      </c>
      <c r="AB34" s="2">
        <f>S34</f>
        <v>129386.98128748499</v>
      </c>
      <c r="AC34">
        <f>todms(RADIANS(P34))</f>
        <v>30.100211279458573</v>
      </c>
      <c r="AD34">
        <f>TAN(RADIANS(P34))</f>
        <v>0.5812490179909252</v>
      </c>
      <c r="AE34">
        <f t="shared" si="15"/>
        <v>1.2333166192672497E-14</v>
      </c>
      <c r="AF34">
        <f t="shared" si="16"/>
        <v>3.7529074195491033E-22</v>
      </c>
      <c r="AG34" s="26">
        <f t="shared" si="17"/>
        <v>8.479668415771976E-10</v>
      </c>
    </row>
    <row r="35" spans="24:33" ht="12.75">
      <c r="X35" s="19"/>
      <c r="AB35" s="2"/>
      <c r="AG35" s="26"/>
    </row>
    <row r="36" spans="1:33" ht="12.75">
      <c r="A36" s="1" t="s">
        <v>22</v>
      </c>
      <c r="T36" s="1" t="s">
        <v>22</v>
      </c>
      <c r="X36" s="19"/>
      <c r="Y36" s="15" t="str">
        <f t="shared" si="1"/>
        <v>Iowa</v>
      </c>
      <c r="AB36" s="2"/>
      <c r="AG36" s="26"/>
    </row>
    <row r="37" spans="1:33" ht="12.75">
      <c r="A37" t="s">
        <v>3</v>
      </c>
      <c r="B37" s="2">
        <v>42.04</v>
      </c>
      <c r="C37" s="2">
        <v>43.16</v>
      </c>
      <c r="D37" s="2">
        <v>93.3</v>
      </c>
      <c r="E37" s="2">
        <v>41.3</v>
      </c>
      <c r="F37" s="2">
        <v>1500000</v>
      </c>
      <c r="G37" s="2">
        <v>1000000</v>
      </c>
      <c r="H37">
        <f t="shared" si="2"/>
        <v>0.7434837014129017</v>
      </c>
      <c r="I37">
        <f t="shared" si="2"/>
        <v>0.7293193096619386</v>
      </c>
      <c r="J37">
        <f t="shared" si="3"/>
        <v>0.4465320667151383</v>
      </c>
      <c r="K37">
        <f t="shared" si="3"/>
        <v>0.43403710475435764</v>
      </c>
      <c r="L37" s="10">
        <f t="shared" si="4"/>
        <v>0.6777445667959082</v>
      </c>
      <c r="M37" s="10">
        <f t="shared" si="5"/>
        <v>0.45247175829700187</v>
      </c>
      <c r="N37" s="10">
        <f t="shared" si="6"/>
        <v>1.8945927462698364</v>
      </c>
      <c r="O37" s="2">
        <f t="shared" si="7"/>
        <v>7059740.028244319</v>
      </c>
      <c r="P37" s="15">
        <f t="shared" si="0"/>
        <v>42.66764595425527</v>
      </c>
      <c r="Q37" s="15">
        <f t="shared" si="8"/>
        <v>0.4402604326720291</v>
      </c>
      <c r="R37" s="2">
        <f t="shared" si="9"/>
        <v>6930042.035157931</v>
      </c>
      <c r="S37" s="2">
        <f t="shared" si="10"/>
        <v>1129697.9930863883</v>
      </c>
      <c r="T37" t="s">
        <v>3</v>
      </c>
      <c r="U37">
        <f t="shared" si="11"/>
        <v>6387966.001101979</v>
      </c>
      <c r="V37">
        <f t="shared" si="12"/>
        <v>6364774.084701506</v>
      </c>
      <c r="W37">
        <f t="shared" si="13"/>
        <v>6376359.498786763</v>
      </c>
      <c r="X37" s="19">
        <f t="shared" si="14"/>
        <v>2.536625025919003E-09</v>
      </c>
      <c r="Y37" s="15" t="str">
        <f t="shared" si="1"/>
        <v>North</v>
      </c>
      <c r="Z37">
        <f>L37*R37/U37/COS(RADIANS(P37))</f>
        <v>0.9999453678702896</v>
      </c>
      <c r="AA37">
        <f>W37*Z37</f>
        <v>6376011.1446875455</v>
      </c>
      <c r="AB37" s="2">
        <f>S37</f>
        <v>1129697.9930863883</v>
      </c>
      <c r="AC37">
        <f>todms(RADIANS(P37))</f>
        <v>42.400352543481986</v>
      </c>
      <c r="AD37">
        <f>TAN(RADIANS(P37))</f>
        <v>0.9217284657883396</v>
      </c>
      <c r="AE37">
        <f t="shared" si="15"/>
        <v>1.2299058560166897E-14</v>
      </c>
      <c r="AF37">
        <f t="shared" si="16"/>
        <v>5.926585404810128E-22</v>
      </c>
      <c r="AG37" s="26">
        <f t="shared" si="17"/>
        <v>8.45621771304275E-10</v>
      </c>
    </row>
    <row r="38" spans="1:33" ht="12.75">
      <c r="A38" t="s">
        <v>4</v>
      </c>
      <c r="B38" s="2">
        <v>40.37</v>
      </c>
      <c r="C38" s="2">
        <v>41.47</v>
      </c>
      <c r="D38" s="2">
        <v>93.3</v>
      </c>
      <c r="E38" s="2">
        <v>40</v>
      </c>
      <c r="F38" s="2">
        <v>500000</v>
      </c>
      <c r="G38" s="2">
        <v>0</v>
      </c>
      <c r="H38">
        <f t="shared" si="2"/>
        <v>0.7601610430983627</v>
      </c>
      <c r="I38">
        <f t="shared" si="2"/>
        <v>0.7467804513312087</v>
      </c>
      <c r="J38">
        <f t="shared" si="3"/>
        <v>0.46178238012995004</v>
      </c>
      <c r="K38">
        <f t="shared" si="3"/>
        <v>0.44949871225156396</v>
      </c>
      <c r="L38" s="10">
        <f t="shared" si="4"/>
        <v>0.6587010131713683</v>
      </c>
      <c r="M38" s="10">
        <f t="shared" si="5"/>
        <v>0.46832039493254546</v>
      </c>
      <c r="N38" s="10">
        <f t="shared" si="6"/>
        <v>1.9197856006733018</v>
      </c>
      <c r="O38" s="2">
        <f t="shared" si="7"/>
        <v>7429044.515859416</v>
      </c>
      <c r="P38" s="15">
        <f t="shared" si="0"/>
        <v>41.20087976141974</v>
      </c>
      <c r="Q38" s="15">
        <f t="shared" si="8"/>
        <v>0.4556174667875765</v>
      </c>
      <c r="R38" s="2">
        <f t="shared" si="9"/>
        <v>7295688.5858336855</v>
      </c>
      <c r="S38" s="2">
        <f t="shared" si="10"/>
        <v>133355.93002573028</v>
      </c>
      <c r="T38" t="s">
        <v>4</v>
      </c>
      <c r="U38">
        <f t="shared" si="11"/>
        <v>6387420.212876728</v>
      </c>
      <c r="V38">
        <f t="shared" si="12"/>
        <v>6363142.803966899</v>
      </c>
      <c r="W38">
        <f t="shared" si="13"/>
        <v>6375269.95220432</v>
      </c>
      <c r="X38" s="19">
        <f t="shared" si="14"/>
        <v>2.537492128744672E-09</v>
      </c>
      <c r="Y38" s="15" t="str">
        <f t="shared" si="1"/>
        <v>South</v>
      </c>
      <c r="Z38">
        <f>L38*R38/U38/COS(RADIANS(P38))</f>
        <v>0.9999483697088741</v>
      </c>
      <c r="AA38">
        <f>W38*Z38</f>
        <v>6374940.795160681</v>
      </c>
      <c r="AB38" s="2">
        <f>S38</f>
        <v>133355.93002573028</v>
      </c>
      <c r="AC38">
        <f>todms(RADIANS(P38))</f>
        <v>41.120316714062916</v>
      </c>
      <c r="AD38">
        <f>TAN(RADIANS(P38))</f>
        <v>0.8754609456485914</v>
      </c>
      <c r="AE38">
        <f t="shared" si="15"/>
        <v>1.230318891904329E-14</v>
      </c>
      <c r="AF38">
        <f t="shared" si="16"/>
        <v>5.631927548637167E-22</v>
      </c>
      <c r="AG38" s="26">
        <f t="shared" si="17"/>
        <v>8.459057541288216E-10</v>
      </c>
    </row>
    <row r="39" spans="24:33" ht="12.75">
      <c r="X39" s="19"/>
      <c r="AB39" s="2"/>
      <c r="AG39" s="26"/>
    </row>
    <row r="40" spans="1:33" ht="12.75">
      <c r="A40" s="1" t="s">
        <v>23</v>
      </c>
      <c r="T40" s="1" t="s">
        <v>23</v>
      </c>
      <c r="X40" s="19"/>
      <c r="Y40" s="15" t="str">
        <f t="shared" si="1"/>
        <v>Kansas</v>
      </c>
      <c r="AB40" s="2"/>
      <c r="AG40" s="26"/>
    </row>
    <row r="41" spans="1:33" ht="12.75">
      <c r="A41" t="s">
        <v>3</v>
      </c>
      <c r="B41" s="2">
        <v>38.43</v>
      </c>
      <c r="C41" s="2">
        <v>39.47</v>
      </c>
      <c r="D41" s="2">
        <v>98</v>
      </c>
      <c r="E41" s="2">
        <v>38.2</v>
      </c>
      <c r="F41" s="2">
        <v>400000</v>
      </c>
      <c r="G41" s="2">
        <v>0</v>
      </c>
      <c r="H41">
        <f t="shared" si="2"/>
        <v>0.7812722156523367</v>
      </c>
      <c r="I41">
        <f t="shared" si="2"/>
        <v>0.7695250659685596</v>
      </c>
      <c r="J41">
        <f t="shared" si="3"/>
        <v>0.4820300527123036</v>
      </c>
      <c r="K41">
        <f t="shared" si="3"/>
        <v>0.47062511567849685</v>
      </c>
      <c r="L41" s="10">
        <f t="shared" si="4"/>
        <v>0.6327146130937793</v>
      </c>
      <c r="M41" s="10">
        <f t="shared" si="5"/>
        <v>0.4861529195549166</v>
      </c>
      <c r="N41" s="10">
        <f t="shared" si="6"/>
        <v>1.95937766448213</v>
      </c>
      <c r="O41" s="2">
        <f t="shared" si="7"/>
        <v>7918239.4728663415</v>
      </c>
      <c r="P41" s="15">
        <f t="shared" si="0"/>
        <v>39.250686947462306</v>
      </c>
      <c r="Q41" s="15">
        <f t="shared" si="8"/>
        <v>0.47630796364377903</v>
      </c>
      <c r="R41" s="2">
        <f t="shared" si="9"/>
        <v>7816402.72822285</v>
      </c>
      <c r="S41" s="2">
        <f t="shared" si="10"/>
        <v>101836.7446434917</v>
      </c>
      <c r="T41" t="s">
        <v>3</v>
      </c>
      <c r="U41">
        <f t="shared" si="11"/>
        <v>6386700.750638122</v>
      </c>
      <c r="V41">
        <f t="shared" si="12"/>
        <v>6360992.863063717</v>
      </c>
      <c r="W41">
        <f t="shared" si="13"/>
        <v>6373833.845758202</v>
      </c>
      <c r="X41" s="19">
        <f t="shared" si="14"/>
        <v>2.5386357165517795E-09</v>
      </c>
      <c r="Y41" s="15" t="str">
        <f t="shared" si="1"/>
        <v>North</v>
      </c>
      <c r="Z41">
        <f>L41*R41/U41/COS(RADIANS(P41))</f>
        <v>0.9999568510539115</v>
      </c>
      <c r="AA41">
        <f>W41*Z41</f>
        <v>6373558.821545214</v>
      </c>
      <c r="AB41" s="2">
        <f>S41</f>
        <v>101836.7446434917</v>
      </c>
      <c r="AC41">
        <f>todms(RADIANS(P41))</f>
        <v>39.15024730104052</v>
      </c>
      <c r="AD41">
        <f>TAN(RADIANS(P41))</f>
        <v>0.8170542631039404</v>
      </c>
      <c r="AE41">
        <f t="shared" si="15"/>
        <v>1.230852487852442E-14</v>
      </c>
      <c r="AF41">
        <f t="shared" si="16"/>
        <v>5.259611365277564E-22</v>
      </c>
      <c r="AG41" s="26">
        <f t="shared" si="17"/>
        <v>8.462726280229465E-10</v>
      </c>
    </row>
    <row r="42" spans="1:33" ht="12.75">
      <c r="A42" t="s">
        <v>4</v>
      </c>
      <c r="B42" s="2">
        <v>37.16</v>
      </c>
      <c r="C42" s="2">
        <v>38.34</v>
      </c>
      <c r="D42" s="2">
        <v>98.3</v>
      </c>
      <c r="E42" s="2">
        <v>36.4</v>
      </c>
      <c r="F42" s="2">
        <v>400000</v>
      </c>
      <c r="G42" s="2">
        <v>400000</v>
      </c>
      <c r="H42">
        <f t="shared" si="2"/>
        <v>0.7968044026918846</v>
      </c>
      <c r="I42">
        <f t="shared" si="2"/>
        <v>0.7829024507789036</v>
      </c>
      <c r="J42">
        <f t="shared" si="3"/>
        <v>0.4976944103726552</v>
      </c>
      <c r="K42">
        <f t="shared" si="3"/>
        <v>0.48364180421179387</v>
      </c>
      <c r="L42" s="10">
        <f t="shared" si="4"/>
        <v>0.6145281119373593</v>
      </c>
      <c r="M42" s="10">
        <f t="shared" si="5"/>
        <v>0.5042321744547452</v>
      </c>
      <c r="N42" s="10">
        <f t="shared" si="6"/>
        <v>1.9908331850143315</v>
      </c>
      <c r="O42" s="2">
        <f t="shared" si="7"/>
        <v>8336559.0485492535</v>
      </c>
      <c r="P42" s="15">
        <f t="shared" si="0"/>
        <v>37.91764006105961</v>
      </c>
      <c r="Q42" s="15">
        <f t="shared" si="8"/>
        <v>0.4906385808863576</v>
      </c>
      <c r="R42" s="2">
        <f t="shared" si="9"/>
        <v>8197720.055018883</v>
      </c>
      <c r="S42" s="2">
        <f t="shared" si="10"/>
        <v>538838.9935303703</v>
      </c>
      <c r="T42" t="s">
        <v>4</v>
      </c>
      <c r="U42">
        <f t="shared" si="11"/>
        <v>6386214.597591933</v>
      </c>
      <c r="V42">
        <f t="shared" si="12"/>
        <v>6359540.385114418</v>
      </c>
      <c r="W42">
        <f t="shared" si="13"/>
        <v>6372863.535444103</v>
      </c>
      <c r="X42" s="19">
        <f t="shared" si="14"/>
        <v>2.539408823312939E-09</v>
      </c>
      <c r="Y42" s="15" t="str">
        <f t="shared" si="1"/>
        <v>South</v>
      </c>
      <c r="Z42">
        <f>L42*R42/U42/COS(RADIANS(P42))</f>
        <v>0.9999359184803001</v>
      </c>
      <c r="AA42">
        <f>W42*Z42</f>
        <v>6372455.152663912</v>
      </c>
      <c r="AB42" s="2">
        <f>S42</f>
        <v>538838.9935303703</v>
      </c>
      <c r="AC42">
        <f>todms(RADIANS(P42))</f>
        <v>37.550350421937104</v>
      </c>
      <c r="AD42">
        <f>TAN(RADIANS(P42))</f>
        <v>0.7789733384888904</v>
      </c>
      <c r="AE42">
        <f t="shared" si="15"/>
        <v>1.2312788764871361E-14</v>
      </c>
      <c r="AF42">
        <f t="shared" si="16"/>
        <v>5.017079467019776E-22</v>
      </c>
      <c r="AG42" s="26">
        <f t="shared" si="17"/>
        <v>8.465657915287304E-10</v>
      </c>
    </row>
    <row r="43" spans="24:33" ht="12.75">
      <c r="X43" s="19"/>
      <c r="AB43" s="2"/>
      <c r="AG43" s="26"/>
    </row>
    <row r="44" spans="1:33" ht="12.75">
      <c r="A44" s="1" t="s">
        <v>24</v>
      </c>
      <c r="T44" s="1" t="s">
        <v>24</v>
      </c>
      <c r="X44" s="19"/>
      <c r="Y44" s="15" t="str">
        <f t="shared" si="1"/>
        <v>Kentucky</v>
      </c>
      <c r="AB44" s="2"/>
      <c r="AG44" s="26"/>
    </row>
    <row r="45" spans="1:33" ht="12.75">
      <c r="A45" t="s">
        <v>3</v>
      </c>
      <c r="B45" s="2">
        <v>37.58</v>
      </c>
      <c r="C45" s="2">
        <v>38.58</v>
      </c>
      <c r="D45" s="2">
        <v>84.15</v>
      </c>
      <c r="E45" s="2">
        <v>37.3</v>
      </c>
      <c r="F45" s="2">
        <v>500000</v>
      </c>
      <c r="G45" s="2">
        <v>0</v>
      </c>
      <c r="H45">
        <f t="shared" si="2"/>
        <v>0.7893694260948795</v>
      </c>
      <c r="I45">
        <f t="shared" si="2"/>
        <v>0.7785432183021386</v>
      </c>
      <c r="J45">
        <f t="shared" si="3"/>
        <v>0.49010874009715394</v>
      </c>
      <c r="K45">
        <f t="shared" si="3"/>
        <v>0.4793481834487714</v>
      </c>
      <c r="L45" s="10">
        <f t="shared" si="4"/>
        <v>0.6220672540388843</v>
      </c>
      <c r="M45" s="10">
        <f t="shared" si="5"/>
        <v>0.4951609041304412</v>
      </c>
      <c r="N45" s="10">
        <f t="shared" si="6"/>
        <v>1.9774335014768403</v>
      </c>
      <c r="O45" s="2">
        <f t="shared" si="7"/>
        <v>8145306.473113864</v>
      </c>
      <c r="P45" s="15">
        <f t="shared" si="0"/>
        <v>38.46725396910317</v>
      </c>
      <c r="Q45" s="15">
        <f t="shared" si="8"/>
        <v>0.4847110870871493</v>
      </c>
      <c r="R45" s="2">
        <f t="shared" si="9"/>
        <v>8037943.993673225</v>
      </c>
      <c r="S45" s="2">
        <f t="shared" si="10"/>
        <v>107362.4794406388</v>
      </c>
      <c r="T45" t="s">
        <v>3</v>
      </c>
      <c r="U45">
        <f t="shared" si="11"/>
        <v>6386414.3965471005</v>
      </c>
      <c r="V45">
        <f t="shared" si="12"/>
        <v>6360137.2970682075</v>
      </c>
      <c r="W45">
        <f t="shared" si="13"/>
        <v>6373262.304190261</v>
      </c>
      <c r="X45" s="19">
        <f t="shared" si="14"/>
        <v>2.539091056635756E-09</v>
      </c>
      <c r="Y45" s="15" t="str">
        <f t="shared" si="1"/>
        <v>North</v>
      </c>
      <c r="Z45">
        <f>L45*R45/U45/COS(RADIANS(P45))</f>
        <v>0.9999620795297843</v>
      </c>
      <c r="AA45">
        <f>W45*Z45</f>
        <v>6373020.627086879</v>
      </c>
      <c r="AB45" s="2">
        <f>S45</f>
        <v>107362.4794406388</v>
      </c>
      <c r="AC45">
        <f>todms(RADIANS(P45))</f>
        <v>38.28021142883215</v>
      </c>
      <c r="AD45">
        <f>TAN(RADIANS(P45))</f>
        <v>0.794503199541678</v>
      </c>
      <c r="AE45">
        <f t="shared" si="15"/>
        <v>1.2310603848601022E-14</v>
      </c>
      <c r="AF45">
        <f t="shared" si="16"/>
        <v>5.115739572761244E-22</v>
      </c>
      <c r="AG45" s="26">
        <f t="shared" si="17"/>
        <v>8.464155676105632E-10</v>
      </c>
    </row>
    <row r="46" spans="1:33" ht="12.75">
      <c r="A46" t="s">
        <v>4</v>
      </c>
      <c r="B46" s="2">
        <v>36.44</v>
      </c>
      <c r="C46" s="2">
        <v>37.56</v>
      </c>
      <c r="D46" s="2">
        <v>85.45</v>
      </c>
      <c r="E46" s="2">
        <v>36.2</v>
      </c>
      <c r="F46" s="2">
        <v>500000</v>
      </c>
      <c r="G46" s="2">
        <v>500000</v>
      </c>
      <c r="H46">
        <f t="shared" si="2"/>
        <v>0.8023891288678923</v>
      </c>
      <c r="I46">
        <f t="shared" si="2"/>
        <v>0.7897261620142472</v>
      </c>
      <c r="J46">
        <f t="shared" si="3"/>
        <v>0.503504105303405</v>
      </c>
      <c r="K46">
        <f t="shared" si="3"/>
        <v>0.4904689568940914</v>
      </c>
      <c r="L46" s="10">
        <f t="shared" si="4"/>
        <v>0.6064623582883261</v>
      </c>
      <c r="M46" s="10">
        <f t="shared" si="5"/>
        <v>0.5078787708302263</v>
      </c>
      <c r="N46" s="10">
        <f t="shared" si="6"/>
        <v>2.0058808831080306</v>
      </c>
      <c r="O46" s="2">
        <f t="shared" si="7"/>
        <v>8483079.45709441</v>
      </c>
      <c r="P46" s="15">
        <f t="shared" si="0"/>
        <v>37.33414565328151</v>
      </c>
      <c r="Q46" s="15">
        <f t="shared" si="8"/>
        <v>0.4969612193373375</v>
      </c>
      <c r="R46" s="2">
        <f t="shared" si="9"/>
        <v>8372015.2323007425</v>
      </c>
      <c r="S46" s="2">
        <f t="shared" si="10"/>
        <v>611064.2247936679</v>
      </c>
      <c r="T46" t="s">
        <v>4</v>
      </c>
      <c r="U46">
        <f t="shared" si="11"/>
        <v>6386003.560405541</v>
      </c>
      <c r="V46">
        <f t="shared" si="12"/>
        <v>6358909.938796527</v>
      </c>
      <c r="W46">
        <f t="shared" si="13"/>
        <v>6372442.350422074</v>
      </c>
      <c r="X46" s="19">
        <f t="shared" si="14"/>
        <v>2.5397445176193155E-09</v>
      </c>
      <c r="Y46" s="15" t="str">
        <f t="shared" si="1"/>
        <v>South</v>
      </c>
      <c r="Z46">
        <f>L46*R46/U46/COS(RADIANS(P46))</f>
        <v>0.9999454016034228</v>
      </c>
      <c r="AA46">
        <f>W46*Z46</f>
        <v>6372094.425287461</v>
      </c>
      <c r="AB46" s="2">
        <f>S46</f>
        <v>611064.2247936679</v>
      </c>
      <c r="AC46">
        <f>todms(RADIANS(P46))</f>
        <v>37.20029243513768</v>
      </c>
      <c r="AD46">
        <f>TAN(RADIANS(P46))</f>
        <v>0.7627380884609002</v>
      </c>
      <c r="AE46">
        <f t="shared" si="15"/>
        <v>1.2314182870297594E-14</v>
      </c>
      <c r="AF46">
        <f t="shared" si="16"/>
        <v>4.913348566720812E-22</v>
      </c>
      <c r="AG46" s="26">
        <f t="shared" si="17"/>
        <v>8.466616432473109E-10</v>
      </c>
    </row>
    <row r="47" spans="1:33" ht="12.75">
      <c r="A47" t="s">
        <v>116</v>
      </c>
      <c r="B47" s="2">
        <v>38.4</v>
      </c>
      <c r="C47" s="2">
        <v>37.05</v>
      </c>
      <c r="D47" s="2">
        <v>85.45</v>
      </c>
      <c r="E47" s="2">
        <v>36.2</v>
      </c>
      <c r="F47" s="2">
        <v>1500000</v>
      </c>
      <c r="G47" s="2">
        <v>1000000</v>
      </c>
      <c r="H47">
        <f>COS(torad(B47))/(SQRT(1-$I$3*SIN(torad(B47))^2))</f>
        <v>0.7818162251066609</v>
      </c>
      <c r="I47">
        <f>COS(torad(C47))/(SQRT(1-$I$3*SIN(torad(C47))^2))</f>
        <v>0.7987319874911593</v>
      </c>
      <c r="J47">
        <f>TAN(PI()/4-torad(B47)/2)/POWER(((1-$I$4*SIN(torad(B47)))/(1+$I$4*SIN(torad(B47)))),$I$4/2)</f>
        <v>0.48256708336917503</v>
      </c>
      <c r="K47">
        <f>TAN(PI()/4-torad(C47)/2)/POWER(((1-$I$4*SIN(torad(C47)))/(1+$I$4*SIN(torad(C47)))),$I$4/2)</f>
        <v>0.49968852636312716</v>
      </c>
      <c r="L47" s="10">
        <f>(LN(I47)-LN(H47))/(LN(K47)-LN(J47))</f>
        <v>0.613960702570043</v>
      </c>
      <c r="M47" s="10">
        <f>TAN(PI()/4-torad(E47)/2)/POWER(((1-$I$4*SIN(torad(E47)))/(1+$I$4*SIN(torad(E47)))),$I$4/2)</f>
        <v>0.5078787708302264</v>
      </c>
      <c r="N47" s="10">
        <f>H47/(L47*POWER(J47,L47))</f>
        <v>1.991806956502083</v>
      </c>
      <c r="O47" s="2">
        <f>$I$2*N47*POWER(M47,L47)</f>
        <v>8380874.318795413</v>
      </c>
      <c r="P47" s="15">
        <f>DEGREES(ASIN(L47))</f>
        <v>37.87644184610905</v>
      </c>
      <c r="Q47" s="15">
        <f t="shared" si="8"/>
        <v>0.49108398579399526</v>
      </c>
      <c r="R47" s="2">
        <f>$I$2*N47*Q47^L47</f>
        <v>8209616.480729617</v>
      </c>
      <c r="S47" s="2">
        <f>O47-R47+G47</f>
        <v>1171257.8380657956</v>
      </c>
      <c r="T47" t="s">
        <v>116</v>
      </c>
      <c r="U47">
        <f>$F$2/SQRT(1-$F$3*SIN(RADIANS(P47))^2)</f>
        <v>6386199.659694529</v>
      </c>
      <c r="V47">
        <f>$F$2*(1-$F$3)/(1-$F$3*SIN(RADIANS(P47))^2)^1.5</f>
        <v>6359495.758706325</v>
      </c>
      <c r="W47">
        <f>SQRT(U47*V47)</f>
        <v>6372833.722142696</v>
      </c>
      <c r="X47" s="19">
        <f t="shared" si="14"/>
        <v>2.5394325830220524E-09</v>
      </c>
      <c r="Y47" s="15" t="str">
        <f t="shared" si="1"/>
        <v>Single</v>
      </c>
      <c r="Z47">
        <f>L47*R47/U47/COS(RADIANS(P47))</f>
        <v>0.9999049420730431</v>
      </c>
      <c r="AA47">
        <f>W47*Z47</f>
        <v>6372227.933780229</v>
      </c>
      <c r="AB47" s="2">
        <f>S47</f>
        <v>1171257.8380657956</v>
      </c>
      <c r="AC47">
        <f>todms(RADIANS(P47))</f>
        <v>37.52351906455496</v>
      </c>
      <c r="AD47">
        <f>TAN(RADIANS(P47))</f>
        <v>0.7778186247533742</v>
      </c>
      <c r="AE47">
        <f t="shared" si="15"/>
        <v>1.2313666871564019E-14</v>
      </c>
      <c r="AF47">
        <f t="shared" si="16"/>
        <v>5.010178298308936E-22</v>
      </c>
      <c r="AG47" s="26">
        <f t="shared" si="17"/>
        <v>8.46626165754384E-10</v>
      </c>
    </row>
    <row r="48" spans="24:33" ht="12.75">
      <c r="X48" s="19"/>
      <c r="AB48" s="2"/>
      <c r="AG48" s="26"/>
    </row>
    <row r="49" spans="1:33" ht="12.75">
      <c r="A49" s="1" t="s">
        <v>25</v>
      </c>
      <c r="T49" s="1" t="s">
        <v>25</v>
      </c>
      <c r="X49" s="19"/>
      <c r="Y49" s="15" t="str">
        <f t="shared" si="1"/>
        <v>Louisiana</v>
      </c>
      <c r="AB49" s="2"/>
      <c r="AG49" s="26"/>
    </row>
    <row r="50" spans="1:33" ht="12.75">
      <c r="A50" t="s">
        <v>3</v>
      </c>
      <c r="B50" s="2">
        <v>31.1</v>
      </c>
      <c r="C50" s="2">
        <v>32.4</v>
      </c>
      <c r="D50" s="2">
        <v>92.3</v>
      </c>
      <c r="E50" s="2">
        <v>30.3</v>
      </c>
      <c r="F50" s="2">
        <v>1000000</v>
      </c>
      <c r="G50" s="2">
        <v>0</v>
      </c>
      <c r="H50">
        <f t="shared" si="2"/>
        <v>0.8564336285525267</v>
      </c>
      <c r="I50">
        <f t="shared" si="2"/>
        <v>0.8426470381511875</v>
      </c>
      <c r="J50">
        <f t="shared" si="3"/>
        <v>0.565812405347564</v>
      </c>
      <c r="K50">
        <f t="shared" si="3"/>
        <v>0.5487084460440204</v>
      </c>
      <c r="L50" s="10">
        <f t="shared" si="4"/>
        <v>0.528700659422288</v>
      </c>
      <c r="M50" s="10">
        <f t="shared" si="5"/>
        <v>0.5734934313036038</v>
      </c>
      <c r="N50" s="10">
        <f t="shared" si="6"/>
        <v>2.189001658504583</v>
      </c>
      <c r="O50" s="2">
        <f t="shared" si="7"/>
        <v>10405759.04756969</v>
      </c>
      <c r="P50" s="15">
        <f t="shared" si="0"/>
        <v>31.917705589331867</v>
      </c>
      <c r="Q50" s="15">
        <f t="shared" si="8"/>
        <v>0.5572181553884878</v>
      </c>
      <c r="R50" s="2">
        <f t="shared" si="9"/>
        <v>10248571.153338274</v>
      </c>
      <c r="S50" s="2">
        <f t="shared" si="10"/>
        <v>157187.89423141629</v>
      </c>
      <c r="T50" t="s">
        <v>3</v>
      </c>
      <c r="U50">
        <f t="shared" si="11"/>
        <v>6384112.909676193</v>
      </c>
      <c r="V50">
        <f t="shared" si="12"/>
        <v>6353263.722713177</v>
      </c>
      <c r="W50">
        <f t="shared" si="13"/>
        <v>6368669.637432187</v>
      </c>
      <c r="X50" s="19">
        <f t="shared" si="14"/>
        <v>2.542754428863097E-09</v>
      </c>
      <c r="Y50" s="15" t="str">
        <f t="shared" si="1"/>
        <v>North</v>
      </c>
      <c r="Z50">
        <f>L50*R50/U50/COS(RADIANS(P50))</f>
        <v>0.9999147409063863</v>
      </c>
      <c r="AA50">
        <f>W50*Z50</f>
        <v>6368126.650431374</v>
      </c>
      <c r="AB50" s="2">
        <f>S50</f>
        <v>157187.89423141629</v>
      </c>
      <c r="AC50">
        <f>todms(RADIANS(P50))</f>
        <v>31.55037401212214</v>
      </c>
      <c r="AD50">
        <f>TAN(RADIANS(P50))</f>
        <v>0.6228740095068436</v>
      </c>
      <c r="AE50">
        <f t="shared" si="15"/>
        <v>1.2329532793239301E-14</v>
      </c>
      <c r="AF50">
        <f t="shared" si="16"/>
        <v>4.0198873482679314E-22</v>
      </c>
      <c r="AG50" s="26">
        <f t="shared" si="17"/>
        <v>8.477170271991683E-10</v>
      </c>
    </row>
    <row r="51" spans="1:33" ht="12.75">
      <c r="A51" t="s">
        <v>4</v>
      </c>
      <c r="B51" s="2">
        <v>29.18</v>
      </c>
      <c r="C51" s="2">
        <v>30.42</v>
      </c>
      <c r="D51" s="2">
        <v>91.2</v>
      </c>
      <c r="E51" s="2">
        <v>28.3</v>
      </c>
      <c r="F51" s="2">
        <v>1000000</v>
      </c>
      <c r="G51" s="2">
        <v>0</v>
      </c>
      <c r="H51">
        <f t="shared" si="2"/>
        <v>0.8727691963308789</v>
      </c>
      <c r="I51">
        <f t="shared" si="2"/>
        <v>0.8606034405277192</v>
      </c>
      <c r="J51">
        <f t="shared" si="3"/>
        <v>0.5874464863142677</v>
      </c>
      <c r="K51">
        <f t="shared" si="3"/>
        <v>0.5711838985129339</v>
      </c>
      <c r="L51" s="10">
        <f t="shared" si="4"/>
        <v>0.5000126896323304</v>
      </c>
      <c r="M51" s="10">
        <f t="shared" si="5"/>
        <v>0.5968418879690882</v>
      </c>
      <c r="N51" s="10">
        <f t="shared" si="6"/>
        <v>2.2773886923520883</v>
      </c>
      <c r="O51" s="2">
        <f t="shared" si="7"/>
        <v>11221678.10955579</v>
      </c>
      <c r="P51" s="15">
        <f t="shared" si="0"/>
        <v>30.000839542868334</v>
      </c>
      <c r="Q51" s="15">
        <f t="shared" si="8"/>
        <v>0.579277339270496</v>
      </c>
      <c r="R51" s="2">
        <f t="shared" si="9"/>
        <v>11055318.638581669</v>
      </c>
      <c r="S51" s="2">
        <f t="shared" si="10"/>
        <v>166359.47097412124</v>
      </c>
      <c r="T51" t="s">
        <v>4</v>
      </c>
      <c r="U51">
        <f t="shared" si="11"/>
        <v>6383481.190344546</v>
      </c>
      <c r="V51">
        <f t="shared" si="12"/>
        <v>6351377.909080981</v>
      </c>
      <c r="W51">
        <f t="shared" si="13"/>
        <v>6367409.317405966</v>
      </c>
      <c r="X51" s="19">
        <f t="shared" si="14"/>
        <v>2.5437611181852323E-09</v>
      </c>
      <c r="Y51" s="15" t="str">
        <f t="shared" si="1"/>
        <v>South</v>
      </c>
      <c r="Z51">
        <f>L51*R51/U51/COS(RADIANS(P51))</f>
        <v>0.9999257445535716</v>
      </c>
      <c r="AA51">
        <f>W51*Z51</f>
        <v>6366936.5025845105</v>
      </c>
      <c r="AB51" s="2">
        <f>S51</f>
        <v>166359.47097412124</v>
      </c>
      <c r="AC51">
        <f>todms(RADIANS(P51))</f>
        <v>30.00030223539751</v>
      </c>
      <c r="AD51">
        <f>TAN(RADIANS(P51))</f>
        <v>0.5773698064045932</v>
      </c>
      <c r="AE51">
        <f t="shared" si="15"/>
        <v>1.2334142651803424E-14</v>
      </c>
      <c r="AF51">
        <f t="shared" si="16"/>
        <v>3.728303531924983E-22</v>
      </c>
      <c r="AG51" s="26">
        <f t="shared" si="17"/>
        <v>8.480339780247446E-10</v>
      </c>
    </row>
    <row r="52" spans="1:33" ht="12.75">
      <c r="A52" t="s">
        <v>26</v>
      </c>
      <c r="B52" s="2">
        <v>26.1</v>
      </c>
      <c r="C52" s="2">
        <v>27.5</v>
      </c>
      <c r="D52" s="2">
        <v>91.2</v>
      </c>
      <c r="E52" s="2">
        <v>25.3</v>
      </c>
      <c r="F52" s="2">
        <v>1000000</v>
      </c>
      <c r="G52" s="2">
        <v>0</v>
      </c>
      <c r="H52">
        <f t="shared" si="2"/>
        <v>0.8980998544308216</v>
      </c>
      <c r="I52">
        <f t="shared" si="2"/>
        <v>0.8849554598216747</v>
      </c>
      <c r="J52">
        <f t="shared" si="3"/>
        <v>0.6246910803363058</v>
      </c>
      <c r="K52">
        <f t="shared" si="3"/>
        <v>0.6047300143459946</v>
      </c>
      <c r="L52" s="10">
        <f t="shared" si="4"/>
        <v>0.45400684816650855</v>
      </c>
      <c r="M52" s="10">
        <f t="shared" si="5"/>
        <v>0.6327747990375552</v>
      </c>
      <c r="N52" s="10">
        <f t="shared" si="6"/>
        <v>2.449241294889174</v>
      </c>
      <c r="O52" s="2">
        <f t="shared" si="7"/>
        <v>12690863.729527134</v>
      </c>
      <c r="P52" s="15">
        <f t="shared" si="0"/>
        <v>27.00105128326201</v>
      </c>
      <c r="Q52" s="15">
        <f t="shared" si="8"/>
        <v>0.614654305983083</v>
      </c>
      <c r="R52" s="2">
        <f t="shared" si="9"/>
        <v>12524558.068980921</v>
      </c>
      <c r="S52" s="2">
        <f t="shared" si="10"/>
        <v>166305.6605462134</v>
      </c>
      <c r="T52" t="s">
        <v>26</v>
      </c>
      <c r="U52">
        <f t="shared" si="11"/>
        <v>6382542.029647124</v>
      </c>
      <c r="V52">
        <f t="shared" si="12"/>
        <v>6348575.008852313</v>
      </c>
      <c r="W52">
        <f t="shared" si="13"/>
        <v>6365535.862939368</v>
      </c>
      <c r="X52" s="19">
        <f t="shared" si="14"/>
        <v>2.5452586580692097E-09</v>
      </c>
      <c r="Y52" s="15" t="str">
        <f t="shared" si="1"/>
        <v>Offshore</v>
      </c>
      <c r="Z52">
        <f>L52*R52/U52/COS(RADIANS(P52))</f>
        <v>0.9998947941137286</v>
      </c>
      <c r="AA52">
        <f>W52*Z52</f>
        <v>6364866.171097315</v>
      </c>
      <c r="AB52" s="2">
        <f>S52</f>
        <v>166305.6605462134</v>
      </c>
      <c r="AC52">
        <f>todms(RADIANS(P52))</f>
        <v>27.00037846194274</v>
      </c>
      <c r="AD52">
        <f>TAN(RADIANS(P52))</f>
        <v>0.509548561594517</v>
      </c>
      <c r="AE52">
        <f t="shared" si="15"/>
        <v>1.2342167931922481E-14</v>
      </c>
      <c r="AF52">
        <f t="shared" si="16"/>
        <v>3.2935669803642556E-22</v>
      </c>
      <c r="AG52" s="26">
        <f t="shared" si="17"/>
        <v>8.485857561593301E-10</v>
      </c>
    </row>
    <row r="53" spans="24:33" ht="12.75">
      <c r="X53" s="19"/>
      <c r="AB53" s="2"/>
      <c r="AG53" s="26"/>
    </row>
    <row r="54" spans="1:33" ht="12.75">
      <c r="A54" s="1" t="s">
        <v>27</v>
      </c>
      <c r="B54" s="2">
        <v>38.18</v>
      </c>
      <c r="C54" s="2">
        <v>39.27</v>
      </c>
      <c r="D54" s="2">
        <v>77</v>
      </c>
      <c r="E54" s="2">
        <v>37.4</v>
      </c>
      <c r="F54" s="2">
        <v>400000</v>
      </c>
      <c r="G54" s="2">
        <v>0</v>
      </c>
      <c r="H54">
        <f t="shared" si="2"/>
        <v>0.7857873415430953</v>
      </c>
      <c r="I54">
        <f t="shared" si="2"/>
        <v>0.7732250091536287</v>
      </c>
      <c r="J54">
        <f t="shared" si="3"/>
        <v>0.4865120441948243</v>
      </c>
      <c r="K54">
        <f t="shared" si="3"/>
        <v>0.47417863090868356</v>
      </c>
      <c r="L54" s="10">
        <f t="shared" si="4"/>
        <v>0.6276341323572225</v>
      </c>
      <c r="M54" s="10">
        <f t="shared" si="5"/>
        <v>0.49335429647729767</v>
      </c>
      <c r="N54" s="10">
        <f t="shared" si="6"/>
        <v>1.9678374165285106</v>
      </c>
      <c r="O54" s="2">
        <f t="shared" si="7"/>
        <v>8055622.73917941</v>
      </c>
      <c r="P54" s="15">
        <f t="shared" si="0"/>
        <v>38.87578800518355</v>
      </c>
      <c r="Q54" s="15">
        <f t="shared" si="8"/>
        <v>0.48032245038493876</v>
      </c>
      <c r="R54" s="2">
        <f t="shared" si="9"/>
        <v>7921405.157642649</v>
      </c>
      <c r="S54" s="2">
        <f t="shared" si="10"/>
        <v>134217.58153676149</v>
      </c>
      <c r="T54" s="1" t="s">
        <v>27</v>
      </c>
      <c r="U54">
        <f t="shared" si="11"/>
        <v>6386563.503274744</v>
      </c>
      <c r="V54">
        <f t="shared" si="12"/>
        <v>6360582.787139329</v>
      </c>
      <c r="W54">
        <f t="shared" si="13"/>
        <v>6373559.906983035</v>
      </c>
      <c r="X54" s="19">
        <f t="shared" si="14"/>
        <v>2.5388539448932146E-09</v>
      </c>
      <c r="Y54" s="15" t="str">
        <f t="shared" si="1"/>
        <v>Maryland</v>
      </c>
      <c r="Z54">
        <f>L54*R54/U54/COS(RADIANS(P54))</f>
        <v>0.9999498478423051</v>
      </c>
      <c r="AA54">
        <f>W54*Z54</f>
        <v>6373240.2592015015</v>
      </c>
      <c r="AB54" s="2">
        <f>S54</f>
        <v>134217.58153676149</v>
      </c>
      <c r="AC54">
        <f>todms(RADIANS(P54))</f>
        <v>38.52328368182061</v>
      </c>
      <c r="AD54">
        <f>TAN(RADIANS(P54))</f>
        <v>0.8062008035497705</v>
      </c>
      <c r="AE54">
        <f t="shared" si="15"/>
        <v>1.2309755376785472E-14</v>
      </c>
      <c r="AF54">
        <f t="shared" si="16"/>
        <v>5.19052280715835E-22</v>
      </c>
      <c r="AG54" s="26">
        <f t="shared" si="17"/>
        <v>8.463572309308851E-10</v>
      </c>
    </row>
    <row r="55" spans="24:33" ht="12.75">
      <c r="X55" s="19"/>
      <c r="Y55" s="19"/>
      <c r="AG55" s="26"/>
    </row>
    <row r="56" spans="24:33" ht="12.75">
      <c r="X56" s="19"/>
      <c r="Y56" s="19"/>
      <c r="AG56" s="26"/>
    </row>
    <row r="57" spans="4:33" ht="12.75">
      <c r="D57" s="27" t="s">
        <v>14</v>
      </c>
      <c r="E57" s="28"/>
      <c r="AG57" s="26"/>
    </row>
    <row r="58" spans="2:33" ht="15">
      <c r="B58" s="27" t="s">
        <v>5</v>
      </c>
      <c r="C58" s="28"/>
      <c r="D58" s="21" t="s">
        <v>15</v>
      </c>
      <c r="E58" s="21" t="s">
        <v>16</v>
      </c>
      <c r="F58" s="6" t="s">
        <v>69</v>
      </c>
      <c r="G58" s="6" t="s">
        <v>68</v>
      </c>
      <c r="H58" s="6" t="s">
        <v>61</v>
      </c>
      <c r="I58" s="6" t="s">
        <v>62</v>
      </c>
      <c r="J58" s="6" t="s">
        <v>63</v>
      </c>
      <c r="K58" s="6" t="s">
        <v>64</v>
      </c>
      <c r="L58" s="11" t="s">
        <v>65</v>
      </c>
      <c r="M58" s="11" t="s">
        <v>66</v>
      </c>
      <c r="N58" s="11" t="s">
        <v>67</v>
      </c>
      <c r="O58" s="6" t="s">
        <v>79</v>
      </c>
      <c r="P58" s="16" t="s">
        <v>71</v>
      </c>
      <c r="Q58" s="16" t="s">
        <v>72</v>
      </c>
      <c r="R58" s="6" t="s">
        <v>73</v>
      </c>
      <c r="S58" s="6" t="s">
        <v>80</v>
      </c>
      <c r="T58" s="8"/>
      <c r="U58" s="18" t="s">
        <v>113</v>
      </c>
      <c r="V58" s="18" t="s">
        <v>114</v>
      </c>
      <c r="W58" s="8" t="s">
        <v>73</v>
      </c>
      <c r="X58" s="16" t="s">
        <v>115</v>
      </c>
      <c r="Y58" s="16"/>
      <c r="Z58" t="s">
        <v>118</v>
      </c>
      <c r="AA58" t="s">
        <v>125</v>
      </c>
      <c r="AB58" t="s">
        <v>121</v>
      </c>
      <c r="AC58" t="s">
        <v>119</v>
      </c>
      <c r="AD58" t="s">
        <v>120</v>
      </c>
      <c r="AE58" t="s">
        <v>122</v>
      </c>
      <c r="AF58" t="s">
        <v>123</v>
      </c>
      <c r="AG58" s="26"/>
    </row>
    <row r="59" spans="2:33" ht="12.75">
      <c r="B59" s="20" t="s">
        <v>4</v>
      </c>
      <c r="C59" s="20" t="s">
        <v>3</v>
      </c>
      <c r="D59" s="20" t="s">
        <v>17</v>
      </c>
      <c r="E59" s="20" t="s">
        <v>3</v>
      </c>
      <c r="F59" s="22" t="s">
        <v>112</v>
      </c>
      <c r="G59" s="22" t="s">
        <v>112</v>
      </c>
      <c r="H59" s="6"/>
      <c r="I59" s="6"/>
      <c r="J59" s="6"/>
      <c r="K59" s="6"/>
      <c r="L59" s="11"/>
      <c r="M59" s="11"/>
      <c r="N59" s="11"/>
      <c r="O59" s="22" t="s">
        <v>112</v>
      </c>
      <c r="P59" s="16"/>
      <c r="Q59" s="16"/>
      <c r="R59" s="22" t="s">
        <v>112</v>
      </c>
      <c r="S59" s="22" t="s">
        <v>112</v>
      </c>
      <c r="T59" s="8"/>
      <c r="U59" s="8"/>
      <c r="V59" s="8"/>
      <c r="W59" s="8"/>
      <c r="X59" s="16"/>
      <c r="Y59" s="16"/>
      <c r="AG59" s="26"/>
    </row>
    <row r="60" spans="1:33" ht="12.75">
      <c r="A60" s="1" t="s">
        <v>28</v>
      </c>
      <c r="T60" s="1" t="s">
        <v>28</v>
      </c>
      <c r="X60" s="19"/>
      <c r="Y60" s="19" t="str">
        <f>T60</f>
        <v>Massachusetts</v>
      </c>
      <c r="AG60" s="26"/>
    </row>
    <row r="61" spans="1:33" ht="12.75">
      <c r="A61" t="s">
        <v>29</v>
      </c>
      <c r="B61" s="2">
        <v>41.43</v>
      </c>
      <c r="C61" s="2">
        <v>42.41</v>
      </c>
      <c r="D61" s="2">
        <v>71.3</v>
      </c>
      <c r="E61" s="2">
        <v>41</v>
      </c>
      <c r="F61" s="2">
        <v>200000</v>
      </c>
      <c r="G61" s="2">
        <v>750000</v>
      </c>
      <c r="H61">
        <f t="shared" si="2"/>
        <v>0.747553492404975</v>
      </c>
      <c r="I61">
        <f t="shared" si="2"/>
        <v>0.7362453482771371</v>
      </c>
      <c r="J61">
        <f t="shared" si="3"/>
        <v>0.4501976745545281</v>
      </c>
      <c r="K61">
        <f t="shared" si="3"/>
        <v>0.4400971013755497</v>
      </c>
      <c r="L61" s="10">
        <f t="shared" si="4"/>
        <v>0.6717286739232137</v>
      </c>
      <c r="M61" s="10">
        <f t="shared" si="5"/>
        <v>0.4577340997375006</v>
      </c>
      <c r="N61" s="10">
        <f t="shared" si="6"/>
        <v>1.9022489999921508</v>
      </c>
      <c r="O61" s="2">
        <f t="shared" si="7"/>
        <v>7177701.742417346</v>
      </c>
      <c r="P61" s="15">
        <f t="shared" si="0"/>
        <v>42.20062528737819</v>
      </c>
      <c r="Q61" s="15">
        <f t="shared" si="8"/>
        <v>0.44513166322108705</v>
      </c>
      <c r="R61" s="2">
        <f t="shared" si="9"/>
        <v>7044348.7040974675</v>
      </c>
      <c r="S61" s="2">
        <f t="shared" si="10"/>
        <v>883353.0383198783</v>
      </c>
      <c r="T61" t="s">
        <v>29</v>
      </c>
      <c r="U61">
        <f t="shared" si="11"/>
        <v>6387791.889718284</v>
      </c>
      <c r="V61">
        <f t="shared" si="12"/>
        <v>6364253.661102742</v>
      </c>
      <c r="W61">
        <f t="shared" si="13"/>
        <v>6376011.913453581</v>
      </c>
      <c r="X61" s="19">
        <f t="shared" si="14"/>
        <v>2.5369015993317633E-09</v>
      </c>
      <c r="Y61" s="19" t="str">
        <f aca="true" t="shared" si="23" ref="Y61:Y109">T61</f>
        <v>Mainland</v>
      </c>
      <c r="Z61">
        <f>L61*R61/U61/COS(RADIANS(P61))</f>
        <v>0.9999645500859703</v>
      </c>
      <c r="AA61">
        <f>W61*Z61</f>
        <v>6375785.884379396</v>
      </c>
      <c r="AB61" s="2">
        <f>S61</f>
        <v>883353.0383198783</v>
      </c>
      <c r="AC61">
        <f>todms(RADIANS(P61))</f>
        <v>42.12022510340679</v>
      </c>
      <c r="AD61">
        <f>TAN(RADIANS(P61))</f>
        <v>0.9067645159771146</v>
      </c>
      <c r="AE61">
        <f aca="true" t="shared" si="24" ref="AE61:AE72">1/(2*AA61^2)</f>
        <v>1.2299927641630098E-14</v>
      </c>
      <c r="AF61">
        <f aca="true" t="shared" si="25" ref="AF61:AF72">AD61/6/AA61^3</f>
        <v>5.830987288872269E-22</v>
      </c>
      <c r="AG61" s="26">
        <f t="shared" si="17"/>
        <v>8.456815250002773E-10</v>
      </c>
    </row>
    <row r="62" spans="1:33" ht="12.75">
      <c r="A62" t="s">
        <v>30</v>
      </c>
      <c r="B62" s="2">
        <v>41.17</v>
      </c>
      <c r="C62" s="2">
        <v>41.29</v>
      </c>
      <c r="D62" s="2">
        <v>70.3</v>
      </c>
      <c r="E62" s="2">
        <v>41</v>
      </c>
      <c r="F62" s="2">
        <v>500000</v>
      </c>
      <c r="G62" s="2">
        <v>0</v>
      </c>
      <c r="H62">
        <f t="shared" si="2"/>
        <v>0.7525534175579998</v>
      </c>
      <c r="I62">
        <f t="shared" si="2"/>
        <v>0.7502511183479735</v>
      </c>
      <c r="J62">
        <f t="shared" si="3"/>
        <v>0.45474961844243256</v>
      </c>
      <c r="K62">
        <f t="shared" si="3"/>
        <v>0.452646843906469</v>
      </c>
      <c r="L62" s="10">
        <f t="shared" si="4"/>
        <v>0.6610939795937483</v>
      </c>
      <c r="M62" s="10">
        <f t="shared" si="5"/>
        <v>0.4577340997375006</v>
      </c>
      <c r="N62" s="10">
        <f t="shared" si="6"/>
        <v>1.916543909096405</v>
      </c>
      <c r="O62" s="2">
        <f t="shared" si="7"/>
        <v>7291990.451768171</v>
      </c>
      <c r="P62" s="15">
        <f t="shared" si="0"/>
        <v>41.38335935122628</v>
      </c>
      <c r="Q62" s="15">
        <f t="shared" si="8"/>
        <v>0.453697553928601</v>
      </c>
      <c r="R62" s="2">
        <f t="shared" si="9"/>
        <v>7249415.225049381</v>
      </c>
      <c r="S62" s="2">
        <f t="shared" si="10"/>
        <v>42575.2267187899</v>
      </c>
      <c r="T62" t="s">
        <v>30</v>
      </c>
      <c r="U62">
        <f t="shared" si="11"/>
        <v>6387487.933230212</v>
      </c>
      <c r="V62">
        <f t="shared" si="12"/>
        <v>6363345.194995306</v>
      </c>
      <c r="W62">
        <f t="shared" si="13"/>
        <v>6375405.135990258</v>
      </c>
      <c r="X62" s="19">
        <f t="shared" si="14"/>
        <v>2.5373845201617937E-09</v>
      </c>
      <c r="Y62" s="19" t="str">
        <f t="shared" si="23"/>
        <v>Island</v>
      </c>
      <c r="Z62">
        <f>L62*R62/U62/COS(RADIANS(P62))</f>
        <v>0.9999984826696899</v>
      </c>
      <c r="AA62">
        <f>W62*Z62</f>
        <v>6375395.462394807</v>
      </c>
      <c r="AB62" s="2">
        <f>S62</f>
        <v>42575.2267187899</v>
      </c>
      <c r="AC62">
        <f>todms(RADIANS(P62))</f>
        <v>41.230009366393055</v>
      </c>
      <c r="AD62">
        <f>TAN(RADIANS(P62))</f>
        <v>0.8811025500691548</v>
      </c>
      <c r="AE62">
        <f t="shared" si="24"/>
        <v>1.2301434154983808E-14</v>
      </c>
      <c r="AF62">
        <f t="shared" si="25"/>
        <v>5.667007935636679E-22</v>
      </c>
      <c r="AG62" s="26">
        <f t="shared" si="17"/>
        <v>8.457851053259116E-10</v>
      </c>
    </row>
    <row r="63" spans="24:33" ht="12.75">
      <c r="X63" s="19"/>
      <c r="Y63" s="19"/>
      <c r="AB63" s="2"/>
      <c r="AG63" s="26"/>
    </row>
    <row r="64" spans="1:33" ht="12.75">
      <c r="A64" s="1" t="s">
        <v>70</v>
      </c>
      <c r="T64" s="1" t="s">
        <v>70</v>
      </c>
      <c r="X64" s="19"/>
      <c r="Y64" s="19" t="str">
        <f t="shared" si="23"/>
        <v>Michigan</v>
      </c>
      <c r="AB64" s="2"/>
      <c r="AG64" s="26"/>
    </row>
    <row r="65" spans="1:33" ht="12.75">
      <c r="A65" t="s">
        <v>3</v>
      </c>
      <c r="B65" s="2">
        <v>45.29</v>
      </c>
      <c r="C65" s="2">
        <v>47.05</v>
      </c>
      <c r="D65" s="2">
        <v>87</v>
      </c>
      <c r="E65" s="2">
        <v>44.47</v>
      </c>
      <c r="F65" s="2">
        <v>8000000</v>
      </c>
      <c r="G65" s="2">
        <v>0</v>
      </c>
      <c r="H65">
        <f t="shared" si="2"/>
        <v>0.7023129468481014</v>
      </c>
      <c r="I65">
        <f t="shared" si="2"/>
        <v>0.6821596392560942</v>
      </c>
      <c r="J65">
        <f t="shared" si="3"/>
        <v>0.4112411630139895</v>
      </c>
      <c r="K65">
        <f t="shared" si="3"/>
        <v>0.3950047767183838</v>
      </c>
      <c r="L65" s="10">
        <f t="shared" si="4"/>
        <v>0.7227899347347283</v>
      </c>
      <c r="M65" s="10">
        <f t="shared" si="5"/>
        <v>0.41840107131340387</v>
      </c>
      <c r="N65" s="10">
        <f t="shared" si="6"/>
        <v>1.8469098057943234</v>
      </c>
      <c r="O65" s="2">
        <f t="shared" si="7"/>
        <v>6275243.845394476</v>
      </c>
      <c r="P65" s="15">
        <f t="shared" si="0"/>
        <v>46.285305617768735</v>
      </c>
      <c r="Q65" s="15">
        <f t="shared" si="8"/>
        <v>0.4030808637168059</v>
      </c>
      <c r="R65" s="2">
        <f t="shared" si="9"/>
        <v>6108308.605634055</v>
      </c>
      <c r="S65" s="2">
        <f t="shared" si="10"/>
        <v>166935.23976042122</v>
      </c>
      <c r="T65" t="s">
        <v>3</v>
      </c>
      <c r="U65">
        <f t="shared" si="11"/>
        <v>6389319.5143658705</v>
      </c>
      <c r="V65">
        <f t="shared" si="12"/>
        <v>6368820.739749318</v>
      </c>
      <c r="W65">
        <f t="shared" si="13"/>
        <v>6379061.893098263</v>
      </c>
      <c r="X65" s="19">
        <f t="shared" si="14"/>
        <v>2.53447627453381E-09</v>
      </c>
      <c r="Y65" s="19" t="str">
        <f t="shared" si="23"/>
        <v>North</v>
      </c>
      <c r="Z65">
        <f>L65*R65/U65/COS(RADIANS(P65))</f>
        <v>0.9999028344661293</v>
      </c>
      <c r="AA65">
        <f>W65*Z65</f>
        <v>6378442.068143826</v>
      </c>
      <c r="AB65" s="2">
        <f>S65</f>
        <v>166935.23976042122</v>
      </c>
      <c r="AC65">
        <f>todms(RADIANS(P65))</f>
        <v>46.17071002234261</v>
      </c>
      <c r="AD65">
        <f>TAN(RADIANS(P65))</f>
        <v>1.0459030650205703</v>
      </c>
      <c r="AE65">
        <f t="shared" si="24"/>
        <v>1.2289685621660896E-14</v>
      </c>
      <c r="AF65">
        <f t="shared" si="25"/>
        <v>6.717324660427056E-22</v>
      </c>
      <c r="AG65" s="26">
        <f t="shared" si="17"/>
        <v>8.449773349172949E-10</v>
      </c>
    </row>
    <row r="66" spans="1:33" ht="12.75">
      <c r="A66" t="s">
        <v>19</v>
      </c>
      <c r="B66" s="2">
        <v>44.11</v>
      </c>
      <c r="C66" s="2">
        <v>45.42</v>
      </c>
      <c r="D66" s="2">
        <v>84.22</v>
      </c>
      <c r="E66" s="2">
        <v>43.19</v>
      </c>
      <c r="F66" s="2">
        <v>6000000</v>
      </c>
      <c r="G66" s="2">
        <v>0</v>
      </c>
      <c r="H66">
        <f t="shared" si="2"/>
        <v>0.7182821749944215</v>
      </c>
      <c r="I66">
        <f t="shared" si="2"/>
        <v>0.6996157961659236</v>
      </c>
      <c r="J66">
        <f t="shared" si="3"/>
        <v>0.4245663689753916</v>
      </c>
      <c r="K66">
        <f t="shared" si="3"/>
        <v>0.4090320737031522</v>
      </c>
      <c r="L66" s="10">
        <f t="shared" si="4"/>
        <v>0.7064074068641477</v>
      </c>
      <c r="M66" s="10">
        <f t="shared" si="5"/>
        <v>0.43351888776442954</v>
      </c>
      <c r="N66" s="10">
        <f t="shared" si="6"/>
        <v>1.862352284617655</v>
      </c>
      <c r="O66" s="2">
        <f t="shared" si="7"/>
        <v>6581660.234108974</v>
      </c>
      <c r="P66" s="15">
        <f t="shared" si="0"/>
        <v>44.94335875764302</v>
      </c>
      <c r="Q66" s="15">
        <f t="shared" si="8"/>
        <v>0.41676115852179535</v>
      </c>
      <c r="R66" s="2">
        <f t="shared" si="9"/>
        <v>6400902.441970784</v>
      </c>
      <c r="S66" s="2">
        <f t="shared" si="10"/>
        <v>180757.79213819</v>
      </c>
      <c r="T66" t="s">
        <v>19</v>
      </c>
      <c r="U66">
        <f t="shared" si="11"/>
        <v>6388817.081003347</v>
      </c>
      <c r="V66">
        <f t="shared" si="12"/>
        <v>6367318.393659287</v>
      </c>
      <c r="W66">
        <f t="shared" si="13"/>
        <v>6378058.679065069</v>
      </c>
      <c r="X66" s="19">
        <f t="shared" si="14"/>
        <v>2.5352736400833324E-09</v>
      </c>
      <c r="Y66" s="19" t="str">
        <f t="shared" si="23"/>
        <v>Central</v>
      </c>
      <c r="Z66">
        <f>L66*R66/U66/COS(RADIANS(P66))</f>
        <v>0.9999127062533402</v>
      </c>
      <c r="AA66">
        <f>W66*Z66</f>
        <v>6377501.914426558</v>
      </c>
      <c r="AB66" s="2">
        <f>S66</f>
        <v>180757.79213819</v>
      </c>
      <c r="AC66">
        <f>todms(RADIANS(P66))</f>
        <v>44.56360915269892</v>
      </c>
      <c r="AD66">
        <f>TAN(RADIANS(P66))</f>
        <v>0.9980247996494586</v>
      </c>
      <c r="AE66">
        <f t="shared" si="24"/>
        <v>1.229330931175773E-14</v>
      </c>
      <c r="AF66">
        <f t="shared" si="25"/>
        <v>6.412661115863169E-22</v>
      </c>
      <c r="AG66" s="26">
        <f t="shared" si="17"/>
        <v>8.452264817299028E-10</v>
      </c>
    </row>
    <row r="67" spans="1:33" ht="12.75">
      <c r="A67" t="s">
        <v>4</v>
      </c>
      <c r="B67" s="2">
        <v>42.06</v>
      </c>
      <c r="C67" s="2">
        <v>43.4</v>
      </c>
      <c r="D67" s="2">
        <v>84.22</v>
      </c>
      <c r="E67" s="2">
        <v>41.3</v>
      </c>
      <c r="F67" s="2">
        <v>4000000</v>
      </c>
      <c r="G67" s="2">
        <v>0</v>
      </c>
      <c r="H67">
        <f t="shared" si="2"/>
        <v>0.743094645312397</v>
      </c>
      <c r="I67">
        <f t="shared" si="2"/>
        <v>0.7245260350537962</v>
      </c>
      <c r="J67">
        <f t="shared" si="3"/>
        <v>0.44618346774029183</v>
      </c>
      <c r="K67">
        <f t="shared" si="3"/>
        <v>0.4298966684449616</v>
      </c>
      <c r="L67" s="10">
        <f t="shared" si="4"/>
        <v>0.6805292599136706</v>
      </c>
      <c r="M67" s="10">
        <f t="shared" si="5"/>
        <v>0.45247175829700187</v>
      </c>
      <c r="N67" s="10">
        <f t="shared" si="6"/>
        <v>1.8910963867428652</v>
      </c>
      <c r="O67" s="2">
        <f t="shared" si="7"/>
        <v>7031167.2926339675</v>
      </c>
      <c r="P67" s="15">
        <f t="shared" si="0"/>
        <v>42.885015135828574</v>
      </c>
      <c r="Q67" s="15">
        <f t="shared" si="8"/>
        <v>0.4379989589678149</v>
      </c>
      <c r="R67" s="2">
        <f t="shared" si="9"/>
        <v>6877323.407875431</v>
      </c>
      <c r="S67" s="2">
        <f t="shared" si="10"/>
        <v>153843.8847585367</v>
      </c>
      <c r="T67" t="s">
        <v>4</v>
      </c>
      <c r="U67">
        <f t="shared" si="11"/>
        <v>6388047.125875705</v>
      </c>
      <c r="V67">
        <f t="shared" si="12"/>
        <v>6365016.578516303</v>
      </c>
      <c r="W67">
        <f t="shared" si="13"/>
        <v>6376521.45456614</v>
      </c>
      <c r="X67" s="19">
        <f t="shared" si="14"/>
        <v>2.5364961732620134E-09</v>
      </c>
      <c r="Y67" s="19" t="str">
        <f t="shared" si="23"/>
        <v>South</v>
      </c>
      <c r="Z67">
        <f>L67*R67/U67/COS(RADIANS(P67))</f>
        <v>0.9999068784197395</v>
      </c>
      <c r="AA67">
        <f>W67*Z67</f>
        <v>6375927.662811725</v>
      </c>
      <c r="AB67" s="2">
        <f>S67</f>
        <v>153843.8847585367</v>
      </c>
      <c r="AC67">
        <f>todms(RADIANS(P67))</f>
        <v>42.53060544884813</v>
      </c>
      <c r="AD67">
        <f>TAN(RADIANS(P67))</f>
        <v>0.9287700871414742</v>
      </c>
      <c r="AE67">
        <f t="shared" si="24"/>
        <v>1.2299380632579095E-14</v>
      </c>
      <c r="AF67">
        <f t="shared" si="25"/>
        <v>5.972096624482447E-22</v>
      </c>
      <c r="AG67" s="26">
        <f t="shared" si="17"/>
        <v>8.456439153929756E-10</v>
      </c>
    </row>
    <row r="68" spans="24:33" ht="12.75">
      <c r="X68" s="19"/>
      <c r="Y68" s="19"/>
      <c r="AB68" s="2"/>
      <c r="AG68" s="26"/>
    </row>
    <row r="69" spans="1:33" ht="12.75">
      <c r="A69" s="1" t="s">
        <v>31</v>
      </c>
      <c r="T69" s="1" t="s">
        <v>31</v>
      </c>
      <c r="X69" s="19"/>
      <c r="Y69" s="19" t="str">
        <f t="shared" si="23"/>
        <v>Minnesota</v>
      </c>
      <c r="AB69" s="2"/>
      <c r="AG69" s="26"/>
    </row>
    <row r="70" spans="1:33" ht="12.75">
      <c r="A70" t="s">
        <v>3</v>
      </c>
      <c r="B70" s="2">
        <v>47.02</v>
      </c>
      <c r="C70" s="2">
        <v>48.38</v>
      </c>
      <c r="D70" s="2">
        <v>93.06</v>
      </c>
      <c r="E70" s="2">
        <v>46.3</v>
      </c>
      <c r="F70" s="2">
        <v>800000</v>
      </c>
      <c r="G70" s="2">
        <v>100000</v>
      </c>
      <c r="H70">
        <f t="shared" si="2"/>
        <v>0.6827976248148007</v>
      </c>
      <c r="I70">
        <f t="shared" si="2"/>
        <v>0.662124828937993</v>
      </c>
      <c r="J70">
        <f t="shared" si="3"/>
        <v>0.3955095101978541</v>
      </c>
      <c r="K70">
        <f t="shared" si="3"/>
        <v>0.3794400808170728</v>
      </c>
      <c r="L70" s="10">
        <f t="shared" si="4"/>
        <v>0.7412196403730642</v>
      </c>
      <c r="M70" s="10">
        <f t="shared" si="5"/>
        <v>0.4009038685993639</v>
      </c>
      <c r="N70" s="10">
        <f t="shared" si="6"/>
        <v>1.8320624696466647</v>
      </c>
      <c r="O70" s="2">
        <f t="shared" si="7"/>
        <v>5934713.475882486</v>
      </c>
      <c r="P70" s="15">
        <f t="shared" si="0"/>
        <v>47.83541410544913</v>
      </c>
      <c r="Q70" s="15">
        <f t="shared" si="8"/>
        <v>0.38743290009788206</v>
      </c>
      <c r="R70" s="2">
        <f t="shared" si="9"/>
        <v>5786251.116308365</v>
      </c>
      <c r="S70" s="2">
        <f t="shared" si="10"/>
        <v>248462.35957412142</v>
      </c>
      <c r="T70" t="s">
        <v>3</v>
      </c>
      <c r="U70">
        <f t="shared" si="11"/>
        <v>6389898.646874142</v>
      </c>
      <c r="V70">
        <f t="shared" si="12"/>
        <v>6370552.720181648</v>
      </c>
      <c r="W70">
        <f t="shared" si="13"/>
        <v>6380218.3510072045</v>
      </c>
      <c r="X70" s="19">
        <f t="shared" si="14"/>
        <v>2.5335575757249995E-09</v>
      </c>
      <c r="Y70" s="19" t="str">
        <f t="shared" si="23"/>
        <v>North</v>
      </c>
      <c r="Z70">
        <f>L70*R70/U70/COS(RADIANS(P70))</f>
        <v>0.9999028165934514</v>
      </c>
      <c r="AA70">
        <f>W70*Z70</f>
        <v>6379598.29965333</v>
      </c>
      <c r="AB70" s="2">
        <f>S70</f>
        <v>248462.35957412142</v>
      </c>
      <c r="AC70">
        <f>todms(RADIANS(P70))</f>
        <v>47.50074907790574</v>
      </c>
      <c r="AD70">
        <f>TAN(RADIANS(P70))</f>
        <v>1.1042171392714293</v>
      </c>
      <c r="AE70">
        <f t="shared" si="24"/>
        <v>1.228523128663447E-14</v>
      </c>
      <c r="AF70">
        <f t="shared" si="25"/>
        <v>7.087992226382306E-22</v>
      </c>
      <c r="AG70" s="26">
        <f t="shared" si="17"/>
        <v>8.446710771125529E-10</v>
      </c>
    </row>
    <row r="71" spans="1:33" ht="12.75">
      <c r="A71" t="s">
        <v>19</v>
      </c>
      <c r="B71" s="2">
        <v>45.37</v>
      </c>
      <c r="C71" s="2">
        <v>47.03</v>
      </c>
      <c r="D71" s="2">
        <v>94.15</v>
      </c>
      <c r="E71" s="2">
        <v>45</v>
      </c>
      <c r="F71" s="2">
        <v>800000</v>
      </c>
      <c r="G71" s="2">
        <v>100000</v>
      </c>
      <c r="H71">
        <f t="shared" si="2"/>
        <v>0.7006543561553201</v>
      </c>
      <c r="I71">
        <f t="shared" si="2"/>
        <v>0.6825850211551705</v>
      </c>
      <c r="J71">
        <f t="shared" si="3"/>
        <v>0.4098813313010918</v>
      </c>
      <c r="K71">
        <f t="shared" si="3"/>
        <v>0.3953412470056115</v>
      </c>
      <c r="L71" s="10">
        <f t="shared" si="4"/>
        <v>0.7233880686831848</v>
      </c>
      <c r="M71" s="10">
        <f t="shared" si="5"/>
        <v>0.41618115177959336</v>
      </c>
      <c r="N71" s="10">
        <f t="shared" si="6"/>
        <v>1.8464220016019484</v>
      </c>
      <c r="O71" s="2">
        <f t="shared" si="7"/>
        <v>6246233.945682492</v>
      </c>
      <c r="P71" s="15">
        <f t="shared" si="0"/>
        <v>46.334918811570084</v>
      </c>
      <c r="Q71" s="15">
        <f t="shared" si="8"/>
        <v>0.4025775054168855</v>
      </c>
      <c r="R71" s="2">
        <f t="shared" si="9"/>
        <v>6097862.90496686</v>
      </c>
      <c r="S71" s="2">
        <f t="shared" si="10"/>
        <v>248371.04071563203</v>
      </c>
      <c r="T71" t="s">
        <v>19</v>
      </c>
      <c r="U71">
        <f t="shared" si="11"/>
        <v>6389338.07867026</v>
      </c>
      <c r="V71">
        <f t="shared" si="12"/>
        <v>6368876.254144901</v>
      </c>
      <c r="W71">
        <f t="shared" si="13"/>
        <v>6379098.962153418</v>
      </c>
      <c r="X71" s="19">
        <f t="shared" si="14"/>
        <v>2.5344468188478606E-09</v>
      </c>
      <c r="Y71" s="19" t="str">
        <f t="shared" si="23"/>
        <v>Central</v>
      </c>
      <c r="Z71">
        <f>L71*R71/U71/COS(RADIANS(P71))</f>
        <v>0.9999220226242812</v>
      </c>
      <c r="AA71">
        <f>W71*Z71</f>
        <v>6378601.536756899</v>
      </c>
      <c r="AB71" s="2">
        <f>S71</f>
        <v>248371.04071563203</v>
      </c>
      <c r="AC71">
        <f>todms(RADIANS(P71))</f>
        <v>46.200570772111035</v>
      </c>
      <c r="AD71">
        <f>TAN(RADIANS(P71))</f>
        <v>1.0477178569643533</v>
      </c>
      <c r="AE71">
        <f t="shared" si="24"/>
        <v>1.2289071131286601E-14</v>
      </c>
      <c r="AF71">
        <f t="shared" si="25"/>
        <v>6.728475510689257E-22</v>
      </c>
      <c r="AG71" s="26">
        <f t="shared" si="17"/>
        <v>8.449350856316101E-10</v>
      </c>
    </row>
    <row r="72" spans="1:33" ht="12.75">
      <c r="A72" t="s">
        <v>4</v>
      </c>
      <c r="B72" s="2">
        <v>43.47</v>
      </c>
      <c r="C72" s="2">
        <v>45.13</v>
      </c>
      <c r="D72" s="2">
        <v>94</v>
      </c>
      <c r="E72" s="2">
        <v>43</v>
      </c>
      <c r="F72" s="2">
        <v>800000</v>
      </c>
      <c r="G72" s="2">
        <v>100000</v>
      </c>
      <c r="H72">
        <f t="shared" si="2"/>
        <v>0.7231212944102186</v>
      </c>
      <c r="I72">
        <f t="shared" si="2"/>
        <v>0.7056186306508345</v>
      </c>
      <c r="J72">
        <f t="shared" si="3"/>
        <v>0.428691311687189</v>
      </c>
      <c r="K72">
        <f t="shared" si="3"/>
        <v>0.41396461063097656</v>
      </c>
      <c r="L72" s="10">
        <f t="shared" si="4"/>
        <v>0.7009277926886992</v>
      </c>
      <c r="M72" s="10">
        <f t="shared" si="5"/>
        <v>0.4368041479718396</v>
      </c>
      <c r="N72" s="10">
        <f t="shared" si="6"/>
        <v>1.8680043635951924</v>
      </c>
      <c r="O72" s="2">
        <f t="shared" si="7"/>
        <v>6667126.851383504</v>
      </c>
      <c r="P72" s="15">
        <f t="shared" si="0"/>
        <v>44.50148841411051</v>
      </c>
      <c r="Q72" s="15">
        <f t="shared" si="8"/>
        <v>0.4212938876779402</v>
      </c>
      <c r="R72" s="2">
        <f t="shared" si="9"/>
        <v>6500294.506316082</v>
      </c>
      <c r="S72" s="2">
        <f t="shared" si="10"/>
        <v>266832.34506742284</v>
      </c>
      <c r="T72" t="s">
        <v>4</v>
      </c>
      <c r="U72">
        <f t="shared" si="11"/>
        <v>6388651.624140667</v>
      </c>
      <c r="V72">
        <f t="shared" si="12"/>
        <v>6366823.706194551</v>
      </c>
      <c r="W72">
        <f t="shared" si="13"/>
        <v>6377728.32685723</v>
      </c>
      <c r="X72" s="19">
        <f t="shared" si="14"/>
        <v>2.5355362900090547E-09</v>
      </c>
      <c r="Y72" s="19" t="str">
        <f t="shared" si="23"/>
        <v>South</v>
      </c>
      <c r="Z72">
        <f>L72*R72/U72/COS(RADIANS(P72))</f>
        <v>0.9999220395526823</v>
      </c>
      <c r="AA72">
        <f>W72*Z72</f>
        <v>6377231.116303997</v>
      </c>
      <c r="AB72" s="2">
        <f>S72</f>
        <v>266832.34506742284</v>
      </c>
      <c r="AC72">
        <f>todms(RADIANS(P72))</f>
        <v>44.30053582902774</v>
      </c>
      <c r="AD72">
        <f>TAN(RADIANS(P72))</f>
        <v>0.9827483286788273</v>
      </c>
      <c r="AE72">
        <f t="shared" si="24"/>
        <v>1.2294353362287246E-14</v>
      </c>
      <c r="AF72">
        <f t="shared" si="25"/>
        <v>6.315308843094029E-22</v>
      </c>
      <c r="AG72" s="26">
        <f t="shared" si="17"/>
        <v>8.452982654240596E-10</v>
      </c>
    </row>
    <row r="73" spans="24:33" ht="12.75">
      <c r="X73" s="19"/>
      <c r="Y73" s="19"/>
      <c r="AB73" s="2"/>
      <c r="AG73" s="26"/>
    </row>
    <row r="74" spans="1:33" ht="12.75">
      <c r="A74" s="1" t="s">
        <v>33</v>
      </c>
      <c r="B74" s="2">
        <v>45</v>
      </c>
      <c r="C74" s="2">
        <v>49</v>
      </c>
      <c r="D74" s="2">
        <v>109.3</v>
      </c>
      <c r="E74" s="2">
        <v>44.15</v>
      </c>
      <c r="F74" s="2">
        <v>600000</v>
      </c>
      <c r="G74" s="2">
        <v>0</v>
      </c>
      <c r="H74">
        <f t="shared" si="2"/>
        <v>0.708293170927659</v>
      </c>
      <c r="I74">
        <f t="shared" si="2"/>
        <v>0.6573134035919862</v>
      </c>
      <c r="J74">
        <f t="shared" si="3"/>
        <v>0.41618115177959336</v>
      </c>
      <c r="K74">
        <f t="shared" si="3"/>
        <v>0.37578086070978606</v>
      </c>
      <c r="L74" s="10">
        <f t="shared" si="4"/>
        <v>0.7315042037673862</v>
      </c>
      <c r="M74" s="10">
        <f t="shared" si="5"/>
        <v>0.4238800318302959</v>
      </c>
      <c r="N74" s="10">
        <f t="shared" si="6"/>
        <v>1.8386232492775052</v>
      </c>
      <c r="O74" s="2">
        <f t="shared" si="7"/>
        <v>6259119.567492384</v>
      </c>
      <c r="P74" s="15">
        <f t="shared" si="0"/>
        <v>47.01264542415749</v>
      </c>
      <c r="Q74" s="15">
        <f t="shared" si="8"/>
        <v>0.3957183970485907</v>
      </c>
      <c r="R74" s="2">
        <f t="shared" si="9"/>
        <v>5952137.2067934545</v>
      </c>
      <c r="S74" s="2">
        <f t="shared" si="10"/>
        <v>306982.36069893</v>
      </c>
      <c r="T74" s="1" t="s">
        <v>33</v>
      </c>
      <c r="U74">
        <f t="shared" si="11"/>
        <v>6389591.513507194</v>
      </c>
      <c r="V74">
        <f t="shared" si="12"/>
        <v>6369634.1538456585</v>
      </c>
      <c r="W74">
        <f t="shared" si="13"/>
        <v>6379605.029589042</v>
      </c>
      <c r="X74" s="19">
        <f t="shared" si="14"/>
        <v>2.5340447406236757E-09</v>
      </c>
      <c r="Y74" s="19" t="str">
        <f t="shared" si="23"/>
        <v>Montana</v>
      </c>
      <c r="Z74">
        <f>L74*R74/U74/COS(RADIANS(P74))</f>
        <v>0.9993926362776752</v>
      </c>
      <c r="AA74">
        <f>W74*Z74</f>
        <v>6375730.288931308</v>
      </c>
      <c r="AB74" s="2">
        <f>S74</f>
        <v>306982.36069893</v>
      </c>
      <c r="AC74">
        <f>todms(RADIANS(P74))</f>
        <v>47.00455235264171</v>
      </c>
      <c r="AD74">
        <f>TAN(RADIANS(P74))</f>
        <v>1.0728433309859027</v>
      </c>
      <c r="AE74">
        <f>1/(2*AA74^2)</f>
        <v>1.2300142149753594E-14</v>
      </c>
      <c r="AF74">
        <f>AD74/6/AA74^3</f>
        <v>6.89914455679485E-22</v>
      </c>
      <c r="AG74" s="26">
        <f t="shared" si="17"/>
        <v>8.456962735063083E-10</v>
      </c>
    </row>
    <row r="75" spans="24:33" ht="12.75">
      <c r="X75" s="19"/>
      <c r="Y75" s="19"/>
      <c r="AB75" s="2"/>
      <c r="AG75" s="26"/>
    </row>
    <row r="76" spans="1:33" ht="12.75">
      <c r="A76" s="1" t="s">
        <v>34</v>
      </c>
      <c r="B76" s="2">
        <v>40</v>
      </c>
      <c r="C76" s="2">
        <v>43</v>
      </c>
      <c r="D76" s="2">
        <v>100</v>
      </c>
      <c r="E76" s="2">
        <v>39.5</v>
      </c>
      <c r="F76" s="2">
        <v>500000</v>
      </c>
      <c r="G76" s="2">
        <v>0</v>
      </c>
      <c r="H76">
        <f t="shared" si="2"/>
        <v>0.7671060689678336</v>
      </c>
      <c r="I76">
        <f t="shared" si="2"/>
        <v>0.732494976405773</v>
      </c>
      <c r="J76">
        <f t="shared" si="3"/>
        <v>0.46832039493254546</v>
      </c>
      <c r="K76">
        <f t="shared" si="3"/>
        <v>0.4368041479718396</v>
      </c>
      <c r="L76" s="10">
        <f t="shared" si="4"/>
        <v>0.6626969109347643</v>
      </c>
      <c r="M76" s="10">
        <f t="shared" si="5"/>
        <v>0.4700929043190102</v>
      </c>
      <c r="N76" s="10">
        <f t="shared" si="6"/>
        <v>1.9136854787355326</v>
      </c>
      <c r="O76" s="2">
        <f t="shared" si="7"/>
        <v>7401530.835963151</v>
      </c>
      <c r="P76" s="15">
        <f t="shared" si="0"/>
        <v>41.505880333423015</v>
      </c>
      <c r="Q76" s="15">
        <f t="shared" si="8"/>
        <v>0.45240998992612486</v>
      </c>
      <c r="R76" s="2">
        <f t="shared" si="9"/>
        <v>7215835.9123798525</v>
      </c>
      <c r="S76" s="2">
        <f t="shared" si="10"/>
        <v>185694.92358329892</v>
      </c>
      <c r="T76" s="1" t="s">
        <v>34</v>
      </c>
      <c r="U76">
        <f t="shared" si="11"/>
        <v>6387533.434340183</v>
      </c>
      <c r="V76">
        <f t="shared" si="12"/>
        <v>6363481.183353356</v>
      </c>
      <c r="W76">
        <f t="shared" si="13"/>
        <v>6375495.966390708</v>
      </c>
      <c r="X76" s="19">
        <f t="shared" si="14"/>
        <v>2.53731222146957E-09</v>
      </c>
      <c r="Y76" s="19" t="str">
        <f t="shared" si="23"/>
        <v>Nebraska</v>
      </c>
      <c r="Z76">
        <f>L76*R76/U76/COS(RADIANS(P76))</f>
        <v>0.9996585950627416</v>
      </c>
      <c r="AA76">
        <f>W76*Z76</f>
        <v>6373319.340590311</v>
      </c>
      <c r="AB76" s="2">
        <f>S76</f>
        <v>185694.92358329892</v>
      </c>
      <c r="AC76">
        <f>todms(RADIANS(P76))</f>
        <v>41.30211691998374</v>
      </c>
      <c r="AD76">
        <f>TAN(RADIANS(P76))</f>
        <v>0.8849082457562211</v>
      </c>
      <c r="AE76">
        <f>1/(2*AA76^2)</f>
        <v>1.23094498949919E-14</v>
      </c>
      <c r="AF76">
        <f>AD76/6/AA76^3</f>
        <v>5.697048968621362E-22</v>
      </c>
      <c r="AG76" s="26">
        <f t="shared" si="17"/>
        <v>8.463362275301681E-10</v>
      </c>
    </row>
    <row r="77" spans="24:33" ht="12.75">
      <c r="X77" s="19"/>
      <c r="Y77" s="19"/>
      <c r="AB77" s="2"/>
      <c r="AG77" s="26"/>
    </row>
    <row r="78" spans="1:33" ht="12.75">
      <c r="A78" s="1" t="s">
        <v>35</v>
      </c>
      <c r="T78" s="1" t="s">
        <v>35</v>
      </c>
      <c r="X78" s="19"/>
      <c r="Y78" s="19" t="str">
        <f t="shared" si="23"/>
        <v>New York</v>
      </c>
      <c r="AB78" s="2"/>
      <c r="AG78" s="26"/>
    </row>
    <row r="79" spans="1:33" ht="12.75">
      <c r="A79" t="s">
        <v>36</v>
      </c>
      <c r="B79" s="2">
        <v>40.4</v>
      </c>
      <c r="C79" s="2">
        <v>41.02</v>
      </c>
      <c r="D79" s="2">
        <v>74</v>
      </c>
      <c r="E79" s="2">
        <v>40.1</v>
      </c>
      <c r="F79" s="2">
        <v>300000</v>
      </c>
      <c r="G79" s="2">
        <v>0</v>
      </c>
      <c r="H79">
        <f aca="true" t="shared" si="26" ref="H79:I139">COS(torad(B79))/(SQRT(1-$I$3*SIN(torad(B79))^2))</f>
        <v>0.7595940451580526</v>
      </c>
      <c r="I79">
        <f t="shared" si="26"/>
        <v>0.7554183298464038</v>
      </c>
      <c r="J79">
        <f aca="true" t="shared" si="27" ref="J79:K139">TAN(PI()/4-torad(B79)/2)/POWER(((1-$I$4*SIN(torad(B79)))/(1+$I$4*SIN(torad(B79)))),$I$4/2)</f>
        <v>0.46125365744910596</v>
      </c>
      <c r="K79">
        <f t="shared" si="27"/>
        <v>0.45738264492527064</v>
      </c>
      <c r="L79" s="10">
        <f aca="true" t="shared" si="28" ref="L79:L139">(LN(I79)-LN(H79))/(LN(K79)-LN(J79))</f>
        <v>0.6540820912055308</v>
      </c>
      <c r="M79" s="10">
        <f aca="true" t="shared" si="29" ref="M79:M139">TAN(PI()/4-torad(E79)/2)/POWER(((1-$I$4*SIN(torad(E79)))/(1+$I$4*SIN(torad(E79)))),$I$4/2)</f>
        <v>0.4665502276907493</v>
      </c>
      <c r="N79" s="10">
        <f aca="true" t="shared" si="30" ref="N79:N139">H79/(L79*POWER(J79,L79))</f>
        <v>1.9264610671893445</v>
      </c>
      <c r="O79" s="2">
        <f aca="true" t="shared" si="31" ref="O79:O139">$I$2*N79*POWER(M79,L79)</f>
        <v>7462536.3031229405</v>
      </c>
      <c r="P79" s="15">
        <f t="shared" si="0"/>
        <v>40.85008584218278</v>
      </c>
      <c r="Q79" s="15">
        <f t="shared" si="8"/>
        <v>0.4593158651291065</v>
      </c>
      <c r="R79" s="2">
        <f t="shared" si="9"/>
        <v>7386645.016357534</v>
      </c>
      <c r="S79" s="2">
        <f t="shared" si="10"/>
        <v>75891.28676540684</v>
      </c>
      <c r="T79" t="s">
        <v>36</v>
      </c>
      <c r="U79">
        <f t="shared" si="11"/>
        <v>6387290.19904064</v>
      </c>
      <c r="V79">
        <f t="shared" si="12"/>
        <v>6362754.252843578</v>
      </c>
      <c r="W79">
        <f t="shared" si="13"/>
        <v>6375010.421802614</v>
      </c>
      <c r="X79" s="19">
        <f t="shared" si="14"/>
        <v>2.5376987385266273E-09</v>
      </c>
      <c r="Y79" s="19" t="str">
        <f t="shared" si="23"/>
        <v>Long Island</v>
      </c>
      <c r="Z79">
        <f>L79*R79/U79/COS(RADIANS(P79))</f>
        <v>0.99999490040005</v>
      </c>
      <c r="AA79">
        <f>W79*Z79</f>
        <v>6374977.911799786</v>
      </c>
      <c r="AB79" s="2">
        <f>S79</f>
        <v>75891.28676540684</v>
      </c>
      <c r="AC79">
        <f>todms(RADIANS(P79))</f>
        <v>40.510030903138016</v>
      </c>
      <c r="AD79">
        <f>TAN(RADIANS(P79))</f>
        <v>0.864703476648931</v>
      </c>
      <c r="AE79">
        <f>1/(2*AA79^2)</f>
        <v>1.2303045655270493E-14</v>
      </c>
      <c r="AF79">
        <f>AD79/6/AA79^3</f>
        <v>5.562626516081245E-22</v>
      </c>
      <c r="AG79" s="26">
        <f>1/(6*AA79^2)*206265</f>
        <v>8.458959040281228E-10</v>
      </c>
    </row>
    <row r="80" spans="24:33" ht="12.75">
      <c r="X80" s="19"/>
      <c r="Y80" s="19"/>
      <c r="AB80" s="2"/>
      <c r="AG80" s="26"/>
    </row>
    <row r="81" spans="1:33" ht="12.75">
      <c r="A81" s="1" t="s">
        <v>37</v>
      </c>
      <c r="B81" s="2">
        <v>34.2</v>
      </c>
      <c r="C81" s="2">
        <v>36.1</v>
      </c>
      <c r="D81" s="2">
        <v>79</v>
      </c>
      <c r="E81" s="2">
        <v>33.45</v>
      </c>
      <c r="F81" s="2">
        <v>609601.22</v>
      </c>
      <c r="G81" s="2">
        <v>0</v>
      </c>
      <c r="H81">
        <f t="shared" si="26"/>
        <v>0.8266509564860979</v>
      </c>
      <c r="I81">
        <f t="shared" si="26"/>
        <v>0.8082464944223883</v>
      </c>
      <c r="J81">
        <f t="shared" si="27"/>
        <v>0.5299826028986623</v>
      </c>
      <c r="K81">
        <f t="shared" si="27"/>
        <v>0.5097059984711626</v>
      </c>
      <c r="L81" s="10">
        <f t="shared" si="28"/>
        <v>0.5771702552430084</v>
      </c>
      <c r="M81" s="10">
        <f t="shared" si="29"/>
        <v>0.5365041666400057</v>
      </c>
      <c r="N81" s="10">
        <f t="shared" si="30"/>
        <v>2.06617083002903</v>
      </c>
      <c r="O81" s="2">
        <f t="shared" si="31"/>
        <v>9199785.595011866</v>
      </c>
      <c r="P81" s="15">
        <f>DEGREES(ASIN(L81))</f>
        <v>35.25175860029538</v>
      </c>
      <c r="Q81" s="15">
        <f t="shared" si="8"/>
        <v>0.5197838141745537</v>
      </c>
      <c r="R81" s="2">
        <f t="shared" si="9"/>
        <v>9033195.60291861</v>
      </c>
      <c r="S81" s="2">
        <f t="shared" si="10"/>
        <v>166589.99209325574</v>
      </c>
      <c r="T81" s="1" t="s">
        <v>37</v>
      </c>
      <c r="U81">
        <f t="shared" si="11"/>
        <v>6385260.760345163</v>
      </c>
      <c r="V81">
        <f t="shared" si="12"/>
        <v>6356691.251043504</v>
      </c>
      <c r="W81">
        <f t="shared" si="13"/>
        <v>6370959.991313514</v>
      </c>
      <c r="X81" s="19">
        <f t="shared" si="14"/>
        <v>2.5409265220305936E-09</v>
      </c>
      <c r="Y81" s="19" t="str">
        <f t="shared" si="23"/>
        <v>North Carolina</v>
      </c>
      <c r="Z81">
        <f>L81*R81/U81/COS(RADIANS(P81))</f>
        <v>0.99987259188176</v>
      </c>
      <c r="AA81">
        <f>W81*Z81</f>
        <v>6370148.279289639</v>
      </c>
      <c r="AB81" s="2">
        <f>S81</f>
        <v>166589.99209325574</v>
      </c>
      <c r="AC81">
        <f>todms(RADIANS(P81))</f>
        <v>35.15063309606511</v>
      </c>
      <c r="AD81">
        <f>TAN(RADIANS(P81))</f>
        <v>0.7067761517556878</v>
      </c>
      <c r="AE81">
        <f>1/(2*AA81^2)</f>
        <v>1.2321708239399265E-14</v>
      </c>
      <c r="AF81">
        <f>AD81/6/AA81^3</f>
        <v>4.55703130219239E-22</v>
      </c>
      <c r="AG81" s="26">
        <f>1/(6*AA81^2)*206265</f>
        <v>8.471790499998966E-10</v>
      </c>
    </row>
    <row r="82" spans="24:33" ht="12.75">
      <c r="X82" s="19"/>
      <c r="Y82" s="19"/>
      <c r="AB82" s="2"/>
      <c r="AG82" s="26"/>
    </row>
    <row r="83" spans="1:33" ht="12.75">
      <c r="A83" s="1" t="s">
        <v>38</v>
      </c>
      <c r="T83" s="1" t="s">
        <v>38</v>
      </c>
      <c r="X83" s="19"/>
      <c r="Y83" s="19" t="str">
        <f t="shared" si="23"/>
        <v>North Dakota</v>
      </c>
      <c r="AB83" s="2"/>
      <c r="AG83" s="26"/>
    </row>
    <row r="84" spans="1:33" ht="12.75">
      <c r="A84" t="s">
        <v>3</v>
      </c>
      <c r="B84" s="2">
        <v>47.26</v>
      </c>
      <c r="C84" s="2">
        <v>48.44</v>
      </c>
      <c r="D84" s="2">
        <v>100.3</v>
      </c>
      <c r="E84" s="2">
        <v>47</v>
      </c>
      <c r="F84" s="2">
        <v>600000</v>
      </c>
      <c r="G84" s="2">
        <v>0</v>
      </c>
      <c r="H84">
        <f t="shared" si="26"/>
        <v>0.6776791098560598</v>
      </c>
      <c r="I84">
        <f t="shared" si="26"/>
        <v>0.6608153256873666</v>
      </c>
      <c r="J84">
        <f t="shared" si="27"/>
        <v>0.39147633483989863</v>
      </c>
      <c r="K84">
        <f t="shared" si="27"/>
        <v>0.3784412641155229</v>
      </c>
      <c r="L84" s="10">
        <f t="shared" si="28"/>
        <v>0.7441334044601223</v>
      </c>
      <c r="M84" s="10">
        <f t="shared" si="29"/>
        <v>0.39584609273069</v>
      </c>
      <c r="N84" s="10">
        <f t="shared" si="30"/>
        <v>1.830015340897407</v>
      </c>
      <c r="O84" s="2">
        <f t="shared" si="31"/>
        <v>5856720.461219524</v>
      </c>
      <c r="P84" s="15">
        <f>DEGREES(ASIN(L84))</f>
        <v>48.08471884169147</v>
      </c>
      <c r="Q84" s="15">
        <f aca="true" t="shared" si="32" ref="Q84:Q148">TAN(PI()/4-RADIANS(P84)/2)/POWER(((1-$I$4*SIN(RADIANS(P84)))/(1+$I$4*SIN(RADIANS(P84)))),$I$4/2)</f>
        <v>0.3849311596077703</v>
      </c>
      <c r="R84" s="2">
        <f aca="true" t="shared" si="33" ref="R84:R148">$I$2*N84*Q84^L84</f>
        <v>5736120.482464561</v>
      </c>
      <c r="S84" s="2">
        <f aca="true" t="shared" si="34" ref="S84:S148">O84-R84+G84</f>
        <v>120599.9787549628</v>
      </c>
      <c r="T84" t="s">
        <v>3</v>
      </c>
      <c r="U84">
        <f aca="true" t="shared" si="35" ref="U84:U148">$F$2/SQRT(1-$F$3*SIN(RADIANS(P84))^2)</f>
        <v>6389991.558106805</v>
      </c>
      <c r="V84">
        <f aca="true" t="shared" si="36" ref="V84:V148">$F$2*(1-$F$3)/(1-$F$3*SIN(RADIANS(P84))^2)^1.5</f>
        <v>6370830.614031814</v>
      </c>
      <c r="W84">
        <f aca="true" t="shared" si="37" ref="W84:W148">SQRT(U84*V84)</f>
        <v>6380403.893312059</v>
      </c>
      <c r="X84" s="19">
        <f aca="true" t="shared" si="38" ref="X84:X148">1/(2*W84^2)*206268</f>
        <v>2.533410226032114E-09</v>
      </c>
      <c r="Y84" s="19" t="str">
        <f t="shared" si="23"/>
        <v>North</v>
      </c>
      <c r="Z84">
        <f>L84*R84/U84/COS(RADIANS(P84))</f>
        <v>0.9999358420956573</v>
      </c>
      <c r="AA84">
        <f>W84*Z84</f>
        <v>6379994.539969404</v>
      </c>
      <c r="AB84" s="2">
        <f>S84</f>
        <v>120599.9787549628</v>
      </c>
      <c r="AC84">
        <f>todms(RADIANS(P84))</f>
        <v>48.05049878295269</v>
      </c>
      <c r="AD84">
        <f>TAN(RADIANS(P84))</f>
        <v>1.1139203943105367</v>
      </c>
      <c r="AE84">
        <f>1/(2*AA84^2)</f>
        <v>1.2283705344023428E-14</v>
      </c>
      <c r="AF84">
        <f>AD84/6/AA84^3</f>
        <v>7.148945460003818E-22</v>
      </c>
      <c r="AG84" s="26">
        <f>1/(6*AA84^2)*206265</f>
        <v>8.445661609283309E-10</v>
      </c>
    </row>
    <row r="85" spans="1:33" ht="12.75">
      <c r="A85" t="s">
        <v>4</v>
      </c>
      <c r="B85" s="2">
        <v>46.11</v>
      </c>
      <c r="C85" s="2">
        <v>47.29</v>
      </c>
      <c r="D85" s="2">
        <v>100.3</v>
      </c>
      <c r="E85" s="2">
        <v>45.4</v>
      </c>
      <c r="F85" s="2">
        <v>600000</v>
      </c>
      <c r="G85" s="2">
        <v>0</v>
      </c>
      <c r="H85">
        <f t="shared" si="26"/>
        <v>0.6935628268361382</v>
      </c>
      <c r="I85">
        <f t="shared" si="26"/>
        <v>0.6770369499066478</v>
      </c>
      <c r="J85">
        <f t="shared" si="27"/>
        <v>0.40411597306826696</v>
      </c>
      <c r="K85">
        <f t="shared" si="27"/>
        <v>0.3909729387744116</v>
      </c>
      <c r="L85" s="10">
        <f t="shared" si="28"/>
        <v>0.7293826005597143</v>
      </c>
      <c r="M85" s="10">
        <f t="shared" si="29"/>
        <v>0.40937171803807515</v>
      </c>
      <c r="N85" s="10">
        <f t="shared" si="30"/>
        <v>1.8413573254390376</v>
      </c>
      <c r="O85" s="2">
        <f t="shared" si="31"/>
        <v>6122339.596982098</v>
      </c>
      <c r="P85" s="15">
        <f>DEGREES(ASIN(L85))</f>
        <v>46.834660225875275</v>
      </c>
      <c r="Q85" s="15">
        <f t="shared" si="32"/>
        <v>0.3975167163724875</v>
      </c>
      <c r="R85" s="2">
        <f t="shared" si="33"/>
        <v>5992509.269040473</v>
      </c>
      <c r="S85" s="2">
        <f t="shared" si="34"/>
        <v>129830.32794162538</v>
      </c>
      <c r="T85" t="s">
        <v>4</v>
      </c>
      <c r="U85">
        <f t="shared" si="35"/>
        <v>6389524.988336934</v>
      </c>
      <c r="V85">
        <f t="shared" si="36"/>
        <v>6369435.203763832</v>
      </c>
      <c r="W85">
        <f t="shared" si="37"/>
        <v>6379472.187888427</v>
      </c>
      <c r="X85" s="19">
        <f t="shared" si="38"/>
        <v>2.534150276099874E-09</v>
      </c>
      <c r="Y85" s="19" t="str">
        <f t="shared" si="23"/>
        <v>South</v>
      </c>
      <c r="Z85">
        <f>L85*R85/U85/COS(RADIANS(P85))</f>
        <v>0.9999358515576113</v>
      </c>
      <c r="AA85">
        <f>W85*Z85</f>
        <v>6379062.9546843115</v>
      </c>
      <c r="AB85" s="2">
        <f>S85</f>
        <v>129830.32794162538</v>
      </c>
      <c r="AC85">
        <f>todms(RADIANS(P85))</f>
        <v>46.50047768126032</v>
      </c>
      <c r="AD85">
        <f>TAN(RADIANS(P85))</f>
        <v>1.0661836007947236</v>
      </c>
      <c r="AE85">
        <f>1/(2*AA85^2)</f>
        <v>1.2287293380324572E-14</v>
      </c>
      <c r="AF85">
        <f>AD85/6/AA85^3</f>
        <v>6.845577369445031E-22</v>
      </c>
      <c r="AG85" s="26">
        <f>1/(6*AA85^2)*206265</f>
        <v>8.448128563642159E-10</v>
      </c>
    </row>
    <row r="86" spans="24:33" ht="12.75">
      <c r="X86" s="19"/>
      <c r="Y86" s="19"/>
      <c r="AB86" s="2"/>
      <c r="AG86" s="26"/>
    </row>
    <row r="87" spans="1:33" ht="12.75">
      <c r="A87" s="1" t="s">
        <v>39</v>
      </c>
      <c r="T87" s="1" t="s">
        <v>39</v>
      </c>
      <c r="X87" s="19"/>
      <c r="Y87" s="19" t="str">
        <f t="shared" si="23"/>
        <v>Ohio</v>
      </c>
      <c r="AB87" s="2"/>
      <c r="AG87" s="26"/>
    </row>
    <row r="88" spans="1:33" ht="12.75">
      <c r="A88" t="s">
        <v>3</v>
      </c>
      <c r="B88" s="2">
        <v>40.26</v>
      </c>
      <c r="C88" s="2">
        <v>41.42</v>
      </c>
      <c r="D88" s="2">
        <v>82.3</v>
      </c>
      <c r="E88" s="2">
        <v>39.4</v>
      </c>
      <c r="F88" s="2">
        <v>600000</v>
      </c>
      <c r="G88" s="2">
        <v>0</v>
      </c>
      <c r="H88">
        <f t="shared" si="26"/>
        <v>0.7622350566285545</v>
      </c>
      <c r="I88">
        <f t="shared" si="26"/>
        <v>0.747746593762243</v>
      </c>
      <c r="J88">
        <f t="shared" si="27"/>
        <v>0.46372280142059563</v>
      </c>
      <c r="K88">
        <f t="shared" si="27"/>
        <v>0.4503724705850267</v>
      </c>
      <c r="L88" s="10">
        <f t="shared" si="28"/>
        <v>0.6569503123427639</v>
      </c>
      <c r="M88" s="10">
        <f t="shared" si="29"/>
        <v>0.4718677680692348</v>
      </c>
      <c r="N88" s="10">
        <f t="shared" si="30"/>
        <v>1.9222417711535067</v>
      </c>
      <c r="O88" s="2">
        <f t="shared" si="31"/>
        <v>7485451.600273477</v>
      </c>
      <c r="P88" s="15">
        <f>DEGREES(ASIN(L88))</f>
        <v>41.06769892294117</v>
      </c>
      <c r="Q88" s="15">
        <f t="shared" si="32"/>
        <v>0.45702040133000194</v>
      </c>
      <c r="R88" s="2">
        <f t="shared" si="33"/>
        <v>7329872.693588628</v>
      </c>
      <c r="S88" s="2">
        <f t="shared" si="34"/>
        <v>155578.90668484848</v>
      </c>
      <c r="T88" t="s">
        <v>3</v>
      </c>
      <c r="U88">
        <f t="shared" si="35"/>
        <v>6387370.825388792</v>
      </c>
      <c r="V88">
        <f t="shared" si="36"/>
        <v>6362995.205782589</v>
      </c>
      <c r="W88">
        <f t="shared" si="37"/>
        <v>6375171.365501045</v>
      </c>
      <c r="X88" s="19">
        <f t="shared" si="38"/>
        <v>2.5375706097465134E-09</v>
      </c>
      <c r="Y88" s="19" t="str">
        <f t="shared" si="23"/>
        <v>North</v>
      </c>
      <c r="Z88">
        <f>L88*R88/U88/COS(RADIANS(P88))</f>
        <v>0.9999391404224535</v>
      </c>
      <c r="AA88">
        <f>W88*Z88</f>
        <v>6374783.375264954</v>
      </c>
      <c r="AB88" s="2">
        <f>S88</f>
        <v>155578.90668484848</v>
      </c>
      <c r="AC88">
        <f>todms(RADIANS(P88))</f>
        <v>41.040371612210784</v>
      </c>
      <c r="AD88">
        <f>TAN(RADIANS(P88))</f>
        <v>0.8713633046158306</v>
      </c>
      <c r="AE88">
        <f>1/(2*AA88^2)</f>
        <v>1.2303796560281006E-14</v>
      </c>
      <c r="AF88">
        <f>AD88/6/AA88^3</f>
        <v>5.6059822998255995E-22</v>
      </c>
      <c r="AG88" s="26">
        <f>1/(6*AA88^2)*206265</f>
        <v>8.459475325021207E-10</v>
      </c>
    </row>
    <row r="89" spans="1:33" ht="12.75">
      <c r="A89" t="s">
        <v>4</v>
      </c>
      <c r="B89" s="2">
        <v>38.44</v>
      </c>
      <c r="C89" s="2">
        <v>40.02</v>
      </c>
      <c r="D89" s="2">
        <v>82.3</v>
      </c>
      <c r="E89" s="2">
        <v>38</v>
      </c>
      <c r="F89" s="2">
        <v>600000</v>
      </c>
      <c r="G89" s="2">
        <v>0</v>
      </c>
      <c r="H89">
        <f t="shared" si="26"/>
        <v>0.7810907464345045</v>
      </c>
      <c r="I89">
        <f t="shared" si="26"/>
        <v>0.7667329368646103</v>
      </c>
      <c r="J89">
        <f t="shared" si="27"/>
        <v>0.48185109126310866</v>
      </c>
      <c r="K89">
        <f t="shared" si="27"/>
        <v>0.4679661745026721</v>
      </c>
      <c r="L89" s="10">
        <f t="shared" si="28"/>
        <v>0.6345195367900817</v>
      </c>
      <c r="M89" s="10">
        <f t="shared" si="29"/>
        <v>0.4897486231007332</v>
      </c>
      <c r="N89" s="10">
        <f t="shared" si="30"/>
        <v>1.9563857361706096</v>
      </c>
      <c r="O89" s="2">
        <f>$I$2*N89*POWER(M89,L89)</f>
        <v>7932869.039296495</v>
      </c>
      <c r="P89" s="15">
        <f>DEGREES(ASIN(L89))</f>
        <v>39.384358511921135</v>
      </c>
      <c r="Q89" s="15">
        <f t="shared" si="32"/>
        <v>0.47487952508589293</v>
      </c>
      <c r="R89" s="2">
        <f t="shared" si="33"/>
        <v>7779186.948732821</v>
      </c>
      <c r="S89" s="2">
        <f t="shared" si="34"/>
        <v>153682.09056367353</v>
      </c>
      <c r="T89" t="s">
        <v>4</v>
      </c>
      <c r="U89">
        <f t="shared" si="35"/>
        <v>6386749.778525799</v>
      </c>
      <c r="V89">
        <f t="shared" si="36"/>
        <v>6361139.3558069235</v>
      </c>
      <c r="W89">
        <f t="shared" si="37"/>
        <v>6373931.704362042</v>
      </c>
      <c r="X89" s="19">
        <f t="shared" si="38"/>
        <v>2.538557766096281E-09</v>
      </c>
      <c r="Y89" s="19" t="str">
        <f t="shared" si="23"/>
        <v>South</v>
      </c>
      <c r="Z89">
        <f>L89*R89/U89/COS(RADIANS(P89))</f>
        <v>0.999935907680478</v>
      </c>
      <c r="AA89">
        <f>W89*Z89</f>
        <v>6373523.184294635</v>
      </c>
      <c r="AB89" s="2">
        <f>S89</f>
        <v>153682.09056367353</v>
      </c>
      <c r="AC89">
        <f>todms(RADIANS(P89))</f>
        <v>39.23036906424554</v>
      </c>
      <c r="AD89">
        <f>TAN(RADIANS(P89))</f>
        <v>0.8209521739233401</v>
      </c>
      <c r="AE89">
        <f>1/(2*AA89^2)</f>
        <v>1.2308662523967605E-14</v>
      </c>
      <c r="AF89">
        <f>AD89/6/AA89^3</f>
        <v>5.284791977138498E-22</v>
      </c>
      <c r="AG89" s="26">
        <f>1/(6*AA89^2)*206265</f>
        <v>8.462820918353927E-10</v>
      </c>
    </row>
    <row r="90" spans="24:33" ht="12.75">
      <c r="X90" s="19"/>
      <c r="Y90" s="19"/>
      <c r="AB90" s="2"/>
      <c r="AG90" s="26"/>
    </row>
    <row r="91" spans="1:33" ht="12.75">
      <c r="A91" s="1" t="s">
        <v>40</v>
      </c>
      <c r="T91" s="1" t="s">
        <v>40</v>
      </c>
      <c r="X91" s="19"/>
      <c r="Y91" s="19" t="str">
        <f t="shared" si="23"/>
        <v>Oklahoma</v>
      </c>
      <c r="AB91" s="2"/>
      <c r="AG91" s="26"/>
    </row>
    <row r="92" spans="1:33" ht="12.75">
      <c r="A92" t="s">
        <v>3</v>
      </c>
      <c r="B92" s="2">
        <v>35.34</v>
      </c>
      <c r="C92" s="2">
        <v>36.46</v>
      </c>
      <c r="D92" s="2">
        <v>98</v>
      </c>
      <c r="E92" s="2">
        <v>35</v>
      </c>
      <c r="F92" s="2">
        <v>600000</v>
      </c>
      <c r="G92" s="2">
        <v>0</v>
      </c>
      <c r="H92">
        <f t="shared" si="26"/>
        <v>0.8143620031817669</v>
      </c>
      <c r="I92">
        <f t="shared" si="26"/>
        <v>0.8020421213078418</v>
      </c>
      <c r="J92">
        <f t="shared" si="27"/>
        <v>0.5163059550545904</v>
      </c>
      <c r="K92">
        <f t="shared" si="27"/>
        <v>0.5031402262982093</v>
      </c>
      <c r="L92" s="10">
        <f t="shared" si="28"/>
        <v>0.5901470724522279</v>
      </c>
      <c r="M92" s="10">
        <f t="shared" si="29"/>
        <v>0.5225712097890215</v>
      </c>
      <c r="N92" s="10">
        <f t="shared" si="30"/>
        <v>2.0383758212985854</v>
      </c>
      <c r="O92" s="2">
        <f t="shared" si="31"/>
        <v>8864259.927690202</v>
      </c>
      <c r="P92" s="15">
        <f aca="true" t="shared" si="39" ref="P92:P148">DEGREES(ASIN(L92))</f>
        <v>36.167445602375</v>
      </c>
      <c r="Q92" s="15">
        <f t="shared" si="32"/>
        <v>0.5096974525910466</v>
      </c>
      <c r="R92" s="2">
        <f t="shared" si="33"/>
        <v>8734728.483369265</v>
      </c>
      <c r="S92" s="2">
        <f t="shared" si="34"/>
        <v>129531.44432093762</v>
      </c>
      <c r="T92" t="s">
        <v>3</v>
      </c>
      <c r="U92">
        <f t="shared" si="35"/>
        <v>6385585.2634839155</v>
      </c>
      <c r="V92">
        <f t="shared" si="36"/>
        <v>6357660.453950032</v>
      </c>
      <c r="W92">
        <f t="shared" si="37"/>
        <v>6371607.560496627</v>
      </c>
      <c r="X92" s="19">
        <f t="shared" si="38"/>
        <v>2.540410061441532E-09</v>
      </c>
      <c r="Y92" s="19" t="str">
        <f t="shared" si="23"/>
        <v>North</v>
      </c>
      <c r="Z92">
        <f>L92*R92/U92/COS(RADIANS(P92))</f>
        <v>0.999945408785872</v>
      </c>
      <c r="AA92">
        <f>W92*Z92</f>
        <v>6371259.726703953</v>
      </c>
      <c r="AB92" s="2">
        <f>S92</f>
        <v>129531.44432093762</v>
      </c>
      <c r="AC92">
        <f>todms(RADIANS(P92))</f>
        <v>36.100280416812694</v>
      </c>
      <c r="AD92">
        <f>TAN(RADIANS(P92))</f>
        <v>0.7310171894625938</v>
      </c>
      <c r="AE92">
        <f>1/(2*AA92^2)</f>
        <v>1.231740964325661E-14</v>
      </c>
      <c r="AF92">
        <f>AD92/6/AA92^3</f>
        <v>4.710862302020276E-22</v>
      </c>
      <c r="AG92" s="26">
        <f>1/(6*AA92^2)*206265</f>
        <v>8.468835000221082E-10</v>
      </c>
    </row>
    <row r="93" spans="1:33" ht="12.75">
      <c r="A93" t="s">
        <v>4</v>
      </c>
      <c r="B93" s="2">
        <v>33.56</v>
      </c>
      <c r="C93" s="2">
        <v>35.14</v>
      </c>
      <c r="D93" s="2">
        <v>98</v>
      </c>
      <c r="E93" s="2">
        <v>33.2</v>
      </c>
      <c r="F93" s="2">
        <v>600000</v>
      </c>
      <c r="G93" s="2">
        <v>0</v>
      </c>
      <c r="H93">
        <f t="shared" si="26"/>
        <v>0.8305544205532638</v>
      </c>
      <c r="I93">
        <f t="shared" si="26"/>
        <v>0.8177208707313932</v>
      </c>
      <c r="J93">
        <f t="shared" si="27"/>
        <v>0.5344508116762152</v>
      </c>
      <c r="K93">
        <f t="shared" si="27"/>
        <v>0.5199876026729157</v>
      </c>
      <c r="L93" s="10">
        <f t="shared" si="28"/>
        <v>0.5676166778137299</v>
      </c>
      <c r="M93" s="10">
        <f t="shared" si="29"/>
        <v>0.5411836967043516</v>
      </c>
      <c r="N93" s="10">
        <f t="shared" si="30"/>
        <v>2.088127681578411</v>
      </c>
      <c r="O93" s="2">
        <f t="shared" si="31"/>
        <v>9399243.515935939</v>
      </c>
      <c r="P93" s="15">
        <f t="shared" si="39"/>
        <v>34.584196109568616</v>
      </c>
      <c r="Q93" s="15">
        <f t="shared" si="32"/>
        <v>0.5271885484915053</v>
      </c>
      <c r="R93" s="2">
        <f t="shared" si="33"/>
        <v>9260493.700372685</v>
      </c>
      <c r="S93" s="2">
        <f t="shared" si="34"/>
        <v>138749.81556325406</v>
      </c>
      <c r="T93" t="s">
        <v>4</v>
      </c>
      <c r="U93">
        <f t="shared" si="35"/>
        <v>6385026.501785947</v>
      </c>
      <c r="V93">
        <f t="shared" si="36"/>
        <v>6355991.645455476</v>
      </c>
      <c r="W93">
        <f t="shared" si="37"/>
        <v>6370492.532085983</v>
      </c>
      <c r="X93" s="19">
        <f t="shared" si="38"/>
        <v>2.5412994360940352E-09</v>
      </c>
      <c r="Y93" s="19" t="str">
        <f t="shared" si="23"/>
        <v>South</v>
      </c>
      <c r="Z93">
        <f>L93*R93/U93/COS(RADIANS(P93))</f>
        <v>0.999935942436342</v>
      </c>
      <c r="AA93">
        <f>W93*Z93</f>
        <v>6370084.453855076</v>
      </c>
      <c r="AB93" s="2">
        <f>S93</f>
        <v>138749.81556325406</v>
      </c>
      <c r="AC93">
        <f>todms(RADIANS(P93))</f>
        <v>34.35031059940425</v>
      </c>
      <c r="AD93">
        <f>TAN(RADIANS(P93))</f>
        <v>0.6894467723991223</v>
      </c>
      <c r="AE93">
        <f>1/(2*AA93^2)</f>
        <v>1.2321955156792125E-14</v>
      </c>
      <c r="AF93">
        <f>AD93/6/AA93^3</f>
        <v>4.445431492594947E-22</v>
      </c>
      <c r="AG93" s="26">
        <f>1/(6*AA93^2)*206265</f>
        <v>8.471960268052426E-10</v>
      </c>
    </row>
    <row r="94" spans="24:33" ht="12.75">
      <c r="X94" s="19"/>
      <c r="Y94" s="19"/>
      <c r="AB94" s="2"/>
      <c r="AG94" s="26"/>
    </row>
    <row r="95" spans="1:33" ht="12.75">
      <c r="A95" s="1" t="s">
        <v>41</v>
      </c>
      <c r="T95" s="1" t="s">
        <v>41</v>
      </c>
      <c r="X95" s="19"/>
      <c r="Y95" s="19" t="str">
        <f t="shared" si="23"/>
        <v>Oregon</v>
      </c>
      <c r="AB95" s="2"/>
      <c r="AG95" s="26"/>
    </row>
    <row r="96" spans="1:33" ht="12.75">
      <c r="A96" t="s">
        <v>3</v>
      </c>
      <c r="B96" s="2">
        <v>44.2</v>
      </c>
      <c r="C96" s="2">
        <v>46</v>
      </c>
      <c r="D96" s="2">
        <v>120.3</v>
      </c>
      <c r="E96" s="2">
        <v>43.4</v>
      </c>
      <c r="F96" s="2">
        <v>2500000</v>
      </c>
      <c r="G96" s="2">
        <v>0</v>
      </c>
      <c r="H96">
        <f t="shared" si="26"/>
        <v>0.7164584103931717</v>
      </c>
      <c r="I96">
        <f t="shared" si="26"/>
        <v>0.695864655654213</v>
      </c>
      <c r="J96">
        <f t="shared" si="27"/>
        <v>0.4230225710678482</v>
      </c>
      <c r="K96">
        <f t="shared" si="27"/>
        <v>0.40597878239955026</v>
      </c>
      <c r="L96" s="10">
        <f t="shared" si="28"/>
        <v>0.7091860168856887</v>
      </c>
      <c r="M96" s="10">
        <f t="shared" si="29"/>
        <v>0.4298966684449616</v>
      </c>
      <c r="N96" s="10">
        <f t="shared" si="30"/>
        <v>1.8595530546502481</v>
      </c>
      <c r="O96" s="2">
        <f t="shared" si="31"/>
        <v>6517624.698265835</v>
      </c>
      <c r="P96" s="15">
        <f t="shared" si="39"/>
        <v>45.16872596203684</v>
      </c>
      <c r="Q96" s="15">
        <f t="shared" si="32"/>
        <v>0.41445476328960124</v>
      </c>
      <c r="R96" s="2">
        <f t="shared" si="33"/>
        <v>6350713.931993123</v>
      </c>
      <c r="S96" s="2">
        <f t="shared" si="34"/>
        <v>166910.76627271157</v>
      </c>
      <c r="T96" t="s">
        <v>3</v>
      </c>
      <c r="U96">
        <f t="shared" si="35"/>
        <v>6388901.478364055</v>
      </c>
      <c r="V96">
        <f t="shared" si="36"/>
        <v>6367570.737070926</v>
      </c>
      <c r="W96">
        <f t="shared" si="37"/>
        <v>6378227.19065887</v>
      </c>
      <c r="X96" s="19">
        <f t="shared" si="38"/>
        <v>2.5351396789228204E-09</v>
      </c>
      <c r="Y96" s="19" t="str">
        <f t="shared" si="23"/>
        <v>North</v>
      </c>
      <c r="Z96">
        <f>L96*R96/U96/COS(RADIANS(P96))</f>
        <v>0.9998945825775766</v>
      </c>
      <c r="AA96">
        <f>W96*Z96</f>
        <v>6377554.8143887995</v>
      </c>
      <c r="AB96" s="2">
        <f>S96</f>
        <v>166910.76627271157</v>
      </c>
      <c r="AC96">
        <f>todms(RADIANS(P96))</f>
        <v>45.10074134628043</v>
      </c>
      <c r="AD96">
        <f>TAN(RADIANS(P96))</f>
        <v>1.0059070594655475</v>
      </c>
      <c r="AE96">
        <f>1/(2*AA96^2)</f>
        <v>1.2293105373753193E-14</v>
      </c>
      <c r="AF96">
        <f>AD96/6/AA96^3</f>
        <v>6.463146581044467E-22</v>
      </c>
      <c r="AG96" s="26">
        <f>1/(6*AA96^2)*206265</f>
        <v>8.452124599724007E-10</v>
      </c>
    </row>
    <row r="97" spans="1:33" ht="12.75">
      <c r="A97" t="s">
        <v>4</v>
      </c>
      <c r="B97" s="2">
        <v>42.2</v>
      </c>
      <c r="C97" s="2">
        <v>44</v>
      </c>
      <c r="D97" s="2">
        <v>120.3</v>
      </c>
      <c r="E97" s="2">
        <v>41.4</v>
      </c>
      <c r="F97" s="2">
        <v>1500000</v>
      </c>
      <c r="G97" s="2">
        <v>0</v>
      </c>
      <c r="H97">
        <f t="shared" si="26"/>
        <v>0.7403641800234152</v>
      </c>
      <c r="I97">
        <f t="shared" si="26"/>
        <v>0.7205044916841948</v>
      </c>
      <c r="J97">
        <f t="shared" si="27"/>
        <v>0.44374572555345665</v>
      </c>
      <c r="K97">
        <f t="shared" si="27"/>
        <v>0.4264554912652303</v>
      </c>
      <c r="L97" s="10">
        <f t="shared" si="28"/>
        <v>0.684147361011251</v>
      </c>
      <c r="M97" s="10">
        <f t="shared" si="29"/>
        <v>0.45072212927332644</v>
      </c>
      <c r="N97" s="10">
        <f t="shared" si="30"/>
        <v>1.8867222034736537</v>
      </c>
      <c r="O97" s="2">
        <f t="shared" si="31"/>
        <v>6976289.240188342</v>
      </c>
      <c r="P97" s="15">
        <f t="shared" si="39"/>
        <v>43.1685887666581</v>
      </c>
      <c r="Q97" s="15">
        <f t="shared" si="32"/>
        <v>0.43505417011473063</v>
      </c>
      <c r="R97" s="2">
        <f t="shared" si="33"/>
        <v>6809452.2836605515</v>
      </c>
      <c r="S97" s="2">
        <f t="shared" si="34"/>
        <v>166836.95652779005</v>
      </c>
      <c r="T97" t="s">
        <v>4</v>
      </c>
      <c r="U97">
        <f t="shared" si="35"/>
        <v>6388153.031334777</v>
      </c>
      <c r="V97">
        <f t="shared" si="36"/>
        <v>6365333.154692898</v>
      </c>
      <c r="W97">
        <f t="shared" si="37"/>
        <v>6376732.885075805</v>
      </c>
      <c r="X97" s="19">
        <f t="shared" si="38"/>
        <v>2.5363279730888114E-09</v>
      </c>
      <c r="Y97" s="19" t="str">
        <f t="shared" si="23"/>
        <v>South</v>
      </c>
      <c r="Z97">
        <f>L97*R97/U97/COS(RADIANS(P97))</f>
        <v>0.9998946075921626</v>
      </c>
      <c r="AA97">
        <f>W97*Z97</f>
        <v>6376060.825842911</v>
      </c>
      <c r="AB97" s="2">
        <f>S97</f>
        <v>166836.95652779005</v>
      </c>
      <c r="AC97">
        <f>todms(RADIANS(P97))</f>
        <v>43.100691955946424</v>
      </c>
      <c r="AD97">
        <f>TAN(RADIANS(P97))</f>
        <v>0.9380313573577843</v>
      </c>
      <c r="AE97">
        <f>1/(2*AA97^2)</f>
        <v>1.2298866896669528E-14</v>
      </c>
      <c r="AF97">
        <f>AD97/6/AA97^3</f>
        <v>6.031269736473219E-22</v>
      </c>
      <c r="AG97" s="26">
        <f>1/(6*AA97^2)*206265</f>
        <v>8.456085934805135E-10</v>
      </c>
    </row>
    <row r="98" spans="24:33" ht="12.75">
      <c r="X98" s="19"/>
      <c r="Y98" s="19"/>
      <c r="AB98" s="2"/>
      <c r="AG98" s="26"/>
    </row>
    <row r="99" spans="1:33" ht="12.75">
      <c r="A99" s="1" t="s">
        <v>42</v>
      </c>
      <c r="T99" s="1" t="s">
        <v>42</v>
      </c>
      <c r="X99" s="19"/>
      <c r="Y99" s="19" t="str">
        <f t="shared" si="23"/>
        <v>Pennsylvania</v>
      </c>
      <c r="AB99" s="2"/>
      <c r="AG99" s="26"/>
    </row>
    <row r="100" spans="1:33" ht="12.75">
      <c r="A100" t="s">
        <v>3</v>
      </c>
      <c r="B100" s="2">
        <v>40.53</v>
      </c>
      <c r="C100" s="2">
        <v>41.57</v>
      </c>
      <c r="D100" s="2">
        <v>77.45</v>
      </c>
      <c r="E100" s="2">
        <v>40.1</v>
      </c>
      <c r="F100" s="2">
        <v>600000</v>
      </c>
      <c r="G100" s="2">
        <v>0</v>
      </c>
      <c r="H100">
        <f t="shared" si="26"/>
        <v>0.75713034388771</v>
      </c>
      <c r="I100">
        <f t="shared" si="26"/>
        <v>0.7448434047195271</v>
      </c>
      <c r="J100">
        <f t="shared" si="27"/>
        <v>0.45896490723702577</v>
      </c>
      <c r="K100">
        <f t="shared" si="27"/>
        <v>0.44775285515518604</v>
      </c>
      <c r="L100" s="10">
        <f t="shared" si="28"/>
        <v>0.6615397338134587</v>
      </c>
      <c r="M100" s="10">
        <f t="shared" si="29"/>
        <v>0.4665502276907493</v>
      </c>
      <c r="N100" s="10">
        <f t="shared" si="30"/>
        <v>1.9158479134267676</v>
      </c>
      <c r="O100" s="2">
        <f t="shared" si="31"/>
        <v>7379348.368768706</v>
      </c>
      <c r="P100" s="15">
        <f t="shared" si="39"/>
        <v>41.41740762434991</v>
      </c>
      <c r="Q100" s="15">
        <f t="shared" si="32"/>
        <v>0.45333962171904335</v>
      </c>
      <c r="R100" s="2">
        <f t="shared" si="33"/>
        <v>7240448.77211186</v>
      </c>
      <c r="S100" s="2">
        <f t="shared" si="34"/>
        <v>138899.59665684588</v>
      </c>
      <c r="T100" t="s">
        <v>3</v>
      </c>
      <c r="U100">
        <f t="shared" si="35"/>
        <v>6387500.575334915</v>
      </c>
      <c r="V100">
        <f t="shared" si="36"/>
        <v>6363382.978034403</v>
      </c>
      <c r="W100">
        <f t="shared" si="37"/>
        <v>6375430.372396138</v>
      </c>
      <c r="X100" s="19">
        <f t="shared" si="38"/>
        <v>2.537364432313555E-09</v>
      </c>
      <c r="Y100" s="19" t="str">
        <f t="shared" si="23"/>
        <v>North</v>
      </c>
      <c r="Z100">
        <f>L100*R100/U100/COS(RADIANS(P100))</f>
        <v>0.99995684020168</v>
      </c>
      <c r="AA100">
        <f>W100*Z100</f>
        <v>6375155.210107061</v>
      </c>
      <c r="AB100" s="2">
        <f>S100</f>
        <v>138899.59665684588</v>
      </c>
      <c r="AC100">
        <f>todms(RADIANS(P100))</f>
        <v>41.25026674471753</v>
      </c>
      <c r="AD100">
        <f>TAN(RADIANS(P100))</f>
        <v>0.8821587021926153</v>
      </c>
      <c r="AE100">
        <f>1/(2*AA100^2)</f>
        <v>1.2302361349158683E-14</v>
      </c>
      <c r="AF100">
        <f>AD100/6/AA100^3</f>
        <v>5.674442301929023E-22</v>
      </c>
      <c r="AG100" s="26">
        <f>1/(6*AA100^2)*206265</f>
        <v>8.458488545614054E-10</v>
      </c>
    </row>
    <row r="101" spans="1:33" ht="12.75">
      <c r="A101" t="s">
        <v>4</v>
      </c>
      <c r="B101" s="2">
        <v>39.56</v>
      </c>
      <c r="C101" s="2">
        <v>40.58</v>
      </c>
      <c r="D101" s="2">
        <v>77.45</v>
      </c>
      <c r="E101" s="2">
        <v>39.2</v>
      </c>
      <c r="F101" s="2">
        <v>600000</v>
      </c>
      <c r="G101" s="2">
        <v>0</v>
      </c>
      <c r="H101">
        <f t="shared" si="26"/>
        <v>0.7678515507513158</v>
      </c>
      <c r="I101">
        <f t="shared" si="26"/>
        <v>0.7561798679457652</v>
      </c>
      <c r="J101">
        <f t="shared" si="27"/>
        <v>0.469029116946714</v>
      </c>
      <c r="K101">
        <f t="shared" si="27"/>
        <v>0.4580856453475464</v>
      </c>
      <c r="L101" s="10">
        <f t="shared" si="28"/>
        <v>0.6487931516211</v>
      </c>
      <c r="M101" s="10">
        <f t="shared" si="29"/>
        <v>0.4754246078092281</v>
      </c>
      <c r="N101" s="10">
        <f t="shared" si="30"/>
        <v>1.9341685798454877</v>
      </c>
      <c r="O101" s="2">
        <f t="shared" si="31"/>
        <v>7615193.760014362</v>
      </c>
      <c r="P101" s="15">
        <f t="shared" si="39"/>
        <v>40.45067235987292</v>
      </c>
      <c r="Q101" s="15">
        <f t="shared" si="32"/>
        <v>0.46353916369486864</v>
      </c>
      <c r="R101" s="2">
        <f t="shared" si="33"/>
        <v>7491129.966953216</v>
      </c>
      <c r="S101" s="2">
        <f t="shared" si="34"/>
        <v>124063.79306114558</v>
      </c>
      <c r="T101" t="s">
        <v>4</v>
      </c>
      <c r="U101">
        <f t="shared" si="35"/>
        <v>6387142.45870608</v>
      </c>
      <c r="V101">
        <f t="shared" si="36"/>
        <v>6362312.744628252</v>
      </c>
      <c r="W101">
        <f t="shared" si="37"/>
        <v>6374715.512615596</v>
      </c>
      <c r="X101" s="19">
        <f t="shared" si="38"/>
        <v>2.537933543666258E-09</v>
      </c>
      <c r="Y101" s="19" t="str">
        <f t="shared" si="23"/>
        <v>South</v>
      </c>
      <c r="Z101">
        <f>L101*R101/U101/COS(RADIANS(P101))</f>
        <v>0.999959500101154</v>
      </c>
      <c r="AA101">
        <f>W101*Z101</f>
        <v>6374457.337282163</v>
      </c>
      <c r="AB101" s="2">
        <f>S101</f>
        <v>124063.79306114558</v>
      </c>
      <c r="AC101">
        <f>todms(RADIANS(P101))</f>
        <v>40.27024204950694</v>
      </c>
      <c r="AD101">
        <f>TAN(RADIANS(P101))</f>
        <v>0.8525928409009106</v>
      </c>
      <c r="AE101">
        <f>1/(2*AA101^2)</f>
        <v>1.2305055210982793E-14</v>
      </c>
      <c r="AF101">
        <f>AD101/6/AA101^3</f>
        <v>5.486062799633515E-22</v>
      </c>
      <c r="AG101" s="26">
        <f>1/(6*AA101^2)*206265</f>
        <v>8.460340710311221E-10</v>
      </c>
    </row>
    <row r="102" spans="24:33" ht="12.75">
      <c r="X102" s="19"/>
      <c r="Y102" s="19"/>
      <c r="AB102" s="2"/>
      <c r="AG102" s="26"/>
    </row>
    <row r="103" spans="1:33" ht="12.75">
      <c r="A103" s="1" t="s">
        <v>43</v>
      </c>
      <c r="T103" s="1" t="s">
        <v>43</v>
      </c>
      <c r="X103" s="19"/>
      <c r="Y103" s="19" t="str">
        <f t="shared" si="23"/>
        <v>Puerto Rico and Virgin Islands</v>
      </c>
      <c r="AB103" s="2"/>
      <c r="AG103" s="26"/>
    </row>
    <row r="104" spans="1:33" ht="12.75">
      <c r="A104" s="3">
        <v>1</v>
      </c>
      <c r="B104" s="2">
        <v>18.02</v>
      </c>
      <c r="C104" s="2">
        <v>18.26</v>
      </c>
      <c r="D104" s="2">
        <v>66.26</v>
      </c>
      <c r="E104" s="2">
        <v>17.5</v>
      </c>
      <c r="F104" s="2">
        <v>200000</v>
      </c>
      <c r="G104" s="2">
        <v>200000</v>
      </c>
      <c r="H104">
        <f t="shared" si="26"/>
        <v>0.9511817396762404</v>
      </c>
      <c r="I104">
        <f t="shared" si="26"/>
        <v>0.9490098650296603</v>
      </c>
      <c r="J104">
        <f t="shared" si="27"/>
        <v>0.7276048194052344</v>
      </c>
      <c r="K104">
        <f t="shared" si="27"/>
        <v>0.7223083259805386</v>
      </c>
      <c r="L104" s="10">
        <f t="shared" si="28"/>
        <v>0.31288818773047095</v>
      </c>
      <c r="M104" s="10">
        <f t="shared" si="29"/>
        <v>0.7302629954118011</v>
      </c>
      <c r="N104" s="10">
        <f t="shared" si="30"/>
        <v>3.358037813617026</v>
      </c>
      <c r="O104" s="2">
        <f t="shared" si="31"/>
        <v>19411706.19850975</v>
      </c>
      <c r="P104" s="15">
        <f t="shared" si="39"/>
        <v>18.23337259080798</v>
      </c>
      <c r="Q104" s="15">
        <f t="shared" si="32"/>
        <v>0.7249527569175992</v>
      </c>
      <c r="R104" s="2">
        <f t="shared" si="33"/>
        <v>19367429.455058347</v>
      </c>
      <c r="S104" s="2">
        <f t="shared" si="34"/>
        <v>244276.7434514016</v>
      </c>
      <c r="T104" s="3">
        <v>1</v>
      </c>
      <c r="U104">
        <f t="shared" si="35"/>
        <v>6380228.058403294</v>
      </c>
      <c r="V104">
        <f t="shared" si="36"/>
        <v>6341672.542115072</v>
      </c>
      <c r="W104">
        <f t="shared" si="37"/>
        <v>6360921.0882079275</v>
      </c>
      <c r="X104" s="19">
        <f t="shared" si="38"/>
        <v>2.548953109201893E-09</v>
      </c>
      <c r="Y104" s="19"/>
      <c r="Z104">
        <f>L104*R104/U104/COS(RADIANS(P104))</f>
        <v>0.9999939444724514</v>
      </c>
      <c r="AA104">
        <f>W104*Z104</f>
        <v>6360882.569475044</v>
      </c>
      <c r="AB104" s="2">
        <f>S104</f>
        <v>244276.7434514016</v>
      </c>
      <c r="AC104">
        <f>todms(RADIANS(P104))</f>
        <v>18.14001413266955</v>
      </c>
      <c r="AD104">
        <f>TAN(RADIANS(P104))</f>
        <v>0.32942881953238007</v>
      </c>
      <c r="AE104">
        <f>1/(2*AA104^2)</f>
        <v>1.235763172180778E-14</v>
      </c>
      <c r="AF104">
        <f>AD104/6/AA104^3</f>
        <v>2.1333308105529145E-22</v>
      </c>
      <c r="AG104" s="26">
        <f>1/(6*AA104^2)*206265</f>
        <v>8.49648969032894E-10</v>
      </c>
    </row>
    <row r="105" spans="1:33" ht="12.75">
      <c r="A105" t="s">
        <v>44</v>
      </c>
      <c r="B105" s="2">
        <v>18.02</v>
      </c>
      <c r="C105" s="2">
        <v>18.26</v>
      </c>
      <c r="D105" s="2">
        <v>66.26</v>
      </c>
      <c r="E105" s="2">
        <v>17.5</v>
      </c>
      <c r="H105">
        <f t="shared" si="26"/>
        <v>0.9511817396762404</v>
      </c>
      <c r="I105">
        <f t="shared" si="26"/>
        <v>0.9490098650296603</v>
      </c>
      <c r="J105">
        <f t="shared" si="27"/>
        <v>0.7276048194052344</v>
      </c>
      <c r="K105">
        <f t="shared" si="27"/>
        <v>0.7223083259805386</v>
      </c>
      <c r="L105" s="10">
        <f t="shared" si="28"/>
        <v>0.31288818773047095</v>
      </c>
      <c r="M105" s="10">
        <f t="shared" si="29"/>
        <v>0.7302629954118011</v>
      </c>
      <c r="N105" s="10">
        <f t="shared" si="30"/>
        <v>3.358037813617026</v>
      </c>
      <c r="O105" s="2">
        <f t="shared" si="31"/>
        <v>19411706.19850975</v>
      </c>
      <c r="P105" s="15">
        <f t="shared" si="39"/>
        <v>18.23337259080798</v>
      </c>
      <c r="Q105" s="15">
        <f t="shared" si="32"/>
        <v>0.7249527569175992</v>
      </c>
      <c r="R105" s="2">
        <f t="shared" si="33"/>
        <v>19367429.455058347</v>
      </c>
      <c r="S105" s="2">
        <f t="shared" si="34"/>
        <v>44276.74345140159</v>
      </c>
      <c r="T105" t="s">
        <v>44</v>
      </c>
      <c r="U105">
        <f t="shared" si="35"/>
        <v>6380228.058403294</v>
      </c>
      <c r="V105">
        <f t="shared" si="36"/>
        <v>6341672.542115072</v>
      </c>
      <c r="W105">
        <f t="shared" si="37"/>
        <v>6360921.0882079275</v>
      </c>
      <c r="X105" s="19">
        <f t="shared" si="38"/>
        <v>2.548953109201893E-09</v>
      </c>
      <c r="Y105" s="19" t="str">
        <f t="shared" si="23"/>
        <v>2 (St. Croix)</v>
      </c>
      <c r="Z105">
        <f>L105*R105/U105/COS(RADIANS(P105))</f>
        <v>0.9999939444724514</v>
      </c>
      <c r="AA105">
        <f>W105*Z105</f>
        <v>6360882.569475044</v>
      </c>
      <c r="AB105" s="2">
        <f>S105</f>
        <v>44276.74345140159</v>
      </c>
      <c r="AC105">
        <f>todms(RADIANS(P105))</f>
        <v>18.14001413266955</v>
      </c>
      <c r="AD105">
        <f>TAN(RADIANS(P105))</f>
        <v>0.32942881953238007</v>
      </c>
      <c r="AE105">
        <f>1/(2*AA105^2)</f>
        <v>1.235763172180778E-14</v>
      </c>
      <c r="AF105">
        <f>AD105/6/AA105^3</f>
        <v>2.1333308105529145E-22</v>
      </c>
      <c r="AG105" s="26">
        <f>1/(6*AA105^2)*206265</f>
        <v>8.49648969032894E-10</v>
      </c>
    </row>
    <row r="106" spans="24:33" ht="12.75">
      <c r="X106" s="19"/>
      <c r="Y106" s="19"/>
      <c r="AB106" s="2"/>
      <c r="AG106" s="26"/>
    </row>
    <row r="107" spans="1:33" ht="12.75">
      <c r="A107" s="1" t="s">
        <v>45</v>
      </c>
      <c r="B107" s="2">
        <v>-14.16</v>
      </c>
      <c r="C107" s="2">
        <v>-14.16</v>
      </c>
      <c r="D107" s="2">
        <v>170</v>
      </c>
      <c r="H107">
        <f t="shared" si="26"/>
        <v>0.9693563324744021</v>
      </c>
      <c r="I107">
        <f t="shared" si="26"/>
        <v>0.9693563324744021</v>
      </c>
      <c r="J107">
        <f t="shared" si="27"/>
        <v>1.2839792161341501</v>
      </c>
      <c r="K107">
        <f t="shared" si="27"/>
        <v>1.2839792161341501</v>
      </c>
      <c r="L107" s="10">
        <f>SIN(todms(B107))</f>
        <v>-0.6068258628735418</v>
      </c>
      <c r="M107" s="10">
        <f t="shared" si="29"/>
        <v>0.9999999999999999</v>
      </c>
      <c r="N107" s="10">
        <f t="shared" si="30"/>
        <v>-1.859067539672818</v>
      </c>
      <c r="O107" s="2">
        <f t="shared" si="31"/>
        <v>-11857387.46028617</v>
      </c>
      <c r="P107" s="15">
        <f t="shared" si="39"/>
        <v>-37.36034436068393</v>
      </c>
      <c r="Q107" s="15">
        <f t="shared" si="32"/>
        <v>2.0133822655048914</v>
      </c>
      <c r="R107" s="2">
        <f t="shared" si="33"/>
        <v>-7754587.651387782</v>
      </c>
      <c r="S107" s="2">
        <f t="shared" si="34"/>
        <v>-4102799.8088983884</v>
      </c>
      <c r="T107" s="1" t="s">
        <v>45</v>
      </c>
      <c r="U107">
        <f t="shared" si="35"/>
        <v>6386013.010911748</v>
      </c>
      <c r="V107">
        <f t="shared" si="36"/>
        <v>6358938.170071161</v>
      </c>
      <c r="W107">
        <f t="shared" si="37"/>
        <v>6372461.21131057</v>
      </c>
      <c r="X107" s="19">
        <f t="shared" si="38"/>
        <v>2.5397294836267403E-09</v>
      </c>
      <c r="Y107" s="19" t="str">
        <f t="shared" si="23"/>
        <v>Samoa</v>
      </c>
      <c r="AB107" s="2"/>
      <c r="AG107" s="26"/>
    </row>
    <row r="108" spans="24:33" ht="12.75">
      <c r="X108" s="19"/>
      <c r="Y108" s="19"/>
      <c r="AB108" s="2"/>
      <c r="AG108" s="26"/>
    </row>
    <row r="109" spans="1:33" ht="12.75">
      <c r="A109" s="1" t="s">
        <v>46</v>
      </c>
      <c r="B109" s="2">
        <v>32.3</v>
      </c>
      <c r="C109" s="2">
        <v>34.5</v>
      </c>
      <c r="D109" s="2">
        <v>81</v>
      </c>
      <c r="E109" s="2">
        <v>31.5</v>
      </c>
      <c r="F109" s="2">
        <v>609600</v>
      </c>
      <c r="G109" s="2">
        <v>0</v>
      </c>
      <c r="H109">
        <f t="shared" si="26"/>
        <v>0.8442076009879046</v>
      </c>
      <c r="I109">
        <f t="shared" si="26"/>
        <v>0.8217148886894137</v>
      </c>
      <c r="J109">
        <f t="shared" si="27"/>
        <v>0.5505969376548642</v>
      </c>
      <c r="K109">
        <f t="shared" si="27"/>
        <v>0.5244199219679533</v>
      </c>
      <c r="L109" s="10">
        <f t="shared" si="28"/>
        <v>0.5543993501288698</v>
      </c>
      <c r="M109" s="10">
        <f t="shared" si="29"/>
        <v>0.5581805715046088</v>
      </c>
      <c r="N109" s="10">
        <f t="shared" si="30"/>
        <v>2.1198646026334926</v>
      </c>
      <c r="O109" s="2">
        <f t="shared" si="31"/>
        <v>9786198.795251328</v>
      </c>
      <c r="P109" s="15">
        <f t="shared" si="39"/>
        <v>33.669353471673304</v>
      </c>
      <c r="Q109" s="15">
        <f t="shared" si="32"/>
        <v>0.5374085047416536</v>
      </c>
      <c r="R109" s="2">
        <f t="shared" si="33"/>
        <v>9582591.527753271</v>
      </c>
      <c r="S109" s="2">
        <f t="shared" si="34"/>
        <v>203607.26749805734</v>
      </c>
      <c r="T109" s="1" t="s">
        <v>46</v>
      </c>
      <c r="U109">
        <f t="shared" si="35"/>
        <v>6384708.8939643465</v>
      </c>
      <c r="V109">
        <f t="shared" si="36"/>
        <v>6355043.20197805</v>
      </c>
      <c r="W109">
        <f t="shared" si="37"/>
        <v>6369858.778120353</v>
      </c>
      <c r="X109" s="19">
        <f t="shared" si="38"/>
        <v>2.5418051423493644E-09</v>
      </c>
      <c r="Y109" s="19" t="str">
        <f t="shared" si="23"/>
        <v>South Carolina</v>
      </c>
      <c r="Z109">
        <f>L109*R109/U109/COS(RADIANS(P109))</f>
        <v>0.9997936569654091</v>
      </c>
      <c r="AA109">
        <f>W109*Z109</f>
        <v>6368544.4021301605</v>
      </c>
      <c r="AB109" s="2">
        <f>S109</f>
        <v>203607.26749805734</v>
      </c>
      <c r="AC109">
        <f>todms(RADIANS(P109))</f>
        <v>33.400967249763006</v>
      </c>
      <c r="AD109">
        <f>TAN(RADIANS(P109))</f>
        <v>0.6661445847157833</v>
      </c>
      <c r="AE109">
        <f>1/(2*AA109^2)</f>
        <v>1.2327915307668964E-14</v>
      </c>
      <c r="AF109">
        <f>AD109/6/AA109^3</f>
        <v>4.298299843991389E-22</v>
      </c>
      <c r="AG109" s="26">
        <f>1/(6*AA109^2)*206265</f>
        <v>8.476058169787797E-10</v>
      </c>
    </row>
    <row r="110" spans="1:33" ht="12.75">
      <c r="A110" s="1"/>
      <c r="T110" s="1"/>
      <c r="X110" s="19"/>
      <c r="Y110" s="19"/>
      <c r="AG110" s="26"/>
    </row>
    <row r="111" spans="1:33" ht="12.75">
      <c r="A111" s="1"/>
      <c r="T111" s="1"/>
      <c r="X111" s="19"/>
      <c r="Y111" s="19"/>
      <c r="AG111" s="26"/>
    </row>
    <row r="112" spans="4:33" ht="12.75">
      <c r="D112" s="27" t="s">
        <v>14</v>
      </c>
      <c r="E112" s="27"/>
      <c r="AG112" s="26"/>
    </row>
    <row r="113" spans="2:33" ht="15">
      <c r="B113" s="27" t="s">
        <v>5</v>
      </c>
      <c r="C113" s="27"/>
      <c r="D113" s="21" t="s">
        <v>15</v>
      </c>
      <c r="E113" s="21" t="s">
        <v>16</v>
      </c>
      <c r="F113" s="6" t="s">
        <v>69</v>
      </c>
      <c r="G113" s="6" t="s">
        <v>68</v>
      </c>
      <c r="H113" s="6" t="s">
        <v>61</v>
      </c>
      <c r="I113" s="6" t="s">
        <v>62</v>
      </c>
      <c r="J113" s="6" t="s">
        <v>63</v>
      </c>
      <c r="K113" s="6" t="s">
        <v>64</v>
      </c>
      <c r="L113" s="11" t="s">
        <v>65</v>
      </c>
      <c r="M113" s="11" t="s">
        <v>66</v>
      </c>
      <c r="N113" s="11" t="s">
        <v>67</v>
      </c>
      <c r="O113" s="6" t="s">
        <v>79</v>
      </c>
      <c r="P113" s="16" t="s">
        <v>71</v>
      </c>
      <c r="Q113" s="16" t="s">
        <v>72</v>
      </c>
      <c r="R113" s="6" t="s">
        <v>73</v>
      </c>
      <c r="S113" s="6" t="s">
        <v>80</v>
      </c>
      <c r="T113" s="8"/>
      <c r="U113" s="18" t="s">
        <v>113</v>
      </c>
      <c r="V113" s="18" t="s">
        <v>114</v>
      </c>
      <c r="W113" s="8" t="s">
        <v>73</v>
      </c>
      <c r="X113" s="16" t="s">
        <v>115</v>
      </c>
      <c r="Y113" s="16"/>
      <c r="AG113" s="26"/>
    </row>
    <row r="114" spans="2:33" ht="12.75">
      <c r="B114" s="20" t="s">
        <v>4</v>
      </c>
      <c r="C114" s="20" t="s">
        <v>3</v>
      </c>
      <c r="D114" s="20" t="s">
        <v>17</v>
      </c>
      <c r="E114" s="20" t="s">
        <v>3</v>
      </c>
      <c r="F114" s="7" t="s">
        <v>112</v>
      </c>
      <c r="G114" s="7" t="s">
        <v>112</v>
      </c>
      <c r="H114" s="6"/>
      <c r="I114" s="6"/>
      <c r="J114" s="6"/>
      <c r="K114" s="6"/>
      <c r="L114" s="11"/>
      <c r="M114" s="11"/>
      <c r="N114" s="11"/>
      <c r="O114" s="7" t="s">
        <v>112</v>
      </c>
      <c r="P114" s="16"/>
      <c r="Q114" s="16"/>
      <c r="R114" s="7" t="s">
        <v>112</v>
      </c>
      <c r="S114" s="7" t="s">
        <v>112</v>
      </c>
      <c r="T114" s="8"/>
      <c r="U114" s="8"/>
      <c r="V114" s="8"/>
      <c r="W114" s="8"/>
      <c r="X114" s="16"/>
      <c r="Y114" s="16"/>
      <c r="Z114" t="s">
        <v>118</v>
      </c>
      <c r="AA114" t="s">
        <v>117</v>
      </c>
      <c r="AB114" t="s">
        <v>121</v>
      </c>
      <c r="AC114" t="s">
        <v>119</v>
      </c>
      <c r="AD114" t="s">
        <v>120</v>
      </c>
      <c r="AE114" t="s">
        <v>122</v>
      </c>
      <c r="AF114" t="s">
        <v>123</v>
      </c>
      <c r="AG114" s="26"/>
    </row>
    <row r="115" spans="1:33" ht="12.75">
      <c r="A115" s="1" t="s">
        <v>47</v>
      </c>
      <c r="T115" s="1" t="s">
        <v>47</v>
      </c>
      <c r="X115" s="19"/>
      <c r="Y115" s="19" t="str">
        <f>T115</f>
        <v>South Dakota</v>
      </c>
      <c r="AG115" s="26"/>
    </row>
    <row r="116" spans="1:33" ht="12.75">
      <c r="A116" t="s">
        <v>3</v>
      </c>
      <c r="B116" s="2">
        <v>44.25</v>
      </c>
      <c r="C116" s="2">
        <v>45.41</v>
      </c>
      <c r="D116" s="2">
        <v>100</v>
      </c>
      <c r="E116" s="2">
        <v>43.5</v>
      </c>
      <c r="F116" s="2">
        <v>600000</v>
      </c>
      <c r="G116" s="2">
        <v>0</v>
      </c>
      <c r="H116">
        <f t="shared" si="26"/>
        <v>0.7154430717043533</v>
      </c>
      <c r="I116">
        <f t="shared" si="26"/>
        <v>0.6998236274602613</v>
      </c>
      <c r="J116">
        <f t="shared" si="27"/>
        <v>0.42216562088577664</v>
      </c>
      <c r="K116">
        <f t="shared" si="27"/>
        <v>0.40920188609361136</v>
      </c>
      <c r="L116" s="10">
        <f t="shared" si="28"/>
        <v>0.7077381855967683</v>
      </c>
      <c r="M116" s="10">
        <f t="shared" si="29"/>
        <v>0.42817504222640174</v>
      </c>
      <c r="N116" s="10">
        <f t="shared" si="30"/>
        <v>1.8610692465085565</v>
      </c>
      <c r="O116" s="2">
        <f t="shared" si="31"/>
        <v>6512395.060195667</v>
      </c>
      <c r="P116" s="15">
        <f t="shared" si="39"/>
        <v>45.05118460176353</v>
      </c>
      <c r="Q116" s="15">
        <f t="shared" si="32"/>
        <v>0.4156572196813874</v>
      </c>
      <c r="R116" s="2">
        <f t="shared" si="33"/>
        <v>6377064.492790532</v>
      </c>
      <c r="S116" s="2">
        <f t="shared" si="34"/>
        <v>135330.56740513444</v>
      </c>
      <c r="T116" t="s">
        <v>3</v>
      </c>
      <c r="U116">
        <f t="shared" si="35"/>
        <v>6388857.460250641</v>
      </c>
      <c r="V116">
        <f t="shared" si="36"/>
        <v>6367439.124529691</v>
      </c>
      <c r="W116">
        <f t="shared" si="37"/>
        <v>6378139.301821757</v>
      </c>
      <c r="X116" s="19">
        <f t="shared" si="38"/>
        <v>2.535209546325487E-09</v>
      </c>
      <c r="Y116" s="19" t="str">
        <f aca="true" t="shared" si="40" ref="Y116:Y148">T116</f>
        <v>North</v>
      </c>
      <c r="Z116">
        <f>L116*R116/U116/COS(RADIANS(P116))</f>
        <v>0.999939111894003</v>
      </c>
      <c r="AA116">
        <f>W116*Z116</f>
        <v>6377750.948999884</v>
      </c>
      <c r="AB116" s="2">
        <f>S116</f>
        <v>135330.56740513444</v>
      </c>
      <c r="AC116">
        <f>todms(RADIANS(P116))</f>
        <v>45.03042645658218</v>
      </c>
      <c r="AD116">
        <f>TAN(RADIANS(P116))</f>
        <v>1.0017882776695708</v>
      </c>
      <c r="AE116">
        <f>1/(2*AA116^2)</f>
        <v>1.2292349287042843E-14</v>
      </c>
      <c r="AF116">
        <f>AD116/6/AA116^3</f>
        <v>6.436088792246572E-22</v>
      </c>
      <c r="AG116" s="26">
        <f>1/(6*AA116^2)*206265</f>
        <v>8.451604752306306E-10</v>
      </c>
    </row>
    <row r="117" spans="1:33" ht="12.75">
      <c r="A117" t="s">
        <v>4</v>
      </c>
      <c r="B117" s="2">
        <v>42.5</v>
      </c>
      <c r="C117" s="2">
        <v>44.24</v>
      </c>
      <c r="D117" s="2">
        <v>100.2</v>
      </c>
      <c r="E117" s="2">
        <v>42.2</v>
      </c>
      <c r="F117" s="2">
        <v>600000</v>
      </c>
      <c r="G117" s="2">
        <v>0</v>
      </c>
      <c r="H117">
        <f t="shared" si="26"/>
        <v>0.7344716686003268</v>
      </c>
      <c r="I117">
        <f t="shared" si="26"/>
        <v>0.7156462613611926</v>
      </c>
      <c r="J117">
        <f t="shared" si="27"/>
        <v>0.4385363174445904</v>
      </c>
      <c r="K117">
        <f t="shared" si="27"/>
        <v>0.4223369701411921</v>
      </c>
      <c r="L117" s="10">
        <f t="shared" si="28"/>
        <v>0.6898519627959022</v>
      </c>
      <c r="M117" s="10">
        <f t="shared" si="29"/>
        <v>0.44374572555345665</v>
      </c>
      <c r="N117" s="10">
        <f t="shared" si="30"/>
        <v>1.8801058777451969</v>
      </c>
      <c r="O117" s="2">
        <f t="shared" si="31"/>
        <v>6846221.940315423</v>
      </c>
      <c r="P117" s="15">
        <f t="shared" si="39"/>
        <v>43.618391583242065</v>
      </c>
      <c r="Q117" s="15">
        <f t="shared" si="32"/>
        <v>0.43039572752314925</v>
      </c>
      <c r="R117" s="2">
        <f t="shared" si="33"/>
        <v>6703463.335273511</v>
      </c>
      <c r="S117" s="2">
        <f t="shared" si="34"/>
        <v>142758.60504191183</v>
      </c>
      <c r="T117" t="s">
        <v>4</v>
      </c>
      <c r="U117">
        <f t="shared" si="35"/>
        <v>6388321.162295813</v>
      </c>
      <c r="V117">
        <f t="shared" si="36"/>
        <v>6365835.75900246</v>
      </c>
      <c r="W117">
        <f t="shared" si="37"/>
        <v>6377068.550277223</v>
      </c>
      <c r="X117" s="19">
        <f t="shared" si="38"/>
        <v>2.5360609743488413E-09</v>
      </c>
      <c r="Y117" s="19" t="str">
        <f t="shared" si="40"/>
        <v>South</v>
      </c>
      <c r="Z117">
        <f aca="true" t="shared" si="41" ref="Z117:Z148">L117*R117/U117/COS(RADIANS(P117))</f>
        <v>0.9999068703450092</v>
      </c>
      <c r="AA117">
        <f aca="true" t="shared" si="42" ref="AA117:AA148">W117*Z117</f>
        <v>6376474.656083283</v>
      </c>
      <c r="AB117" s="2">
        <f aca="true" t="shared" si="43" ref="AB117:AB148">S117</f>
        <v>142758.60504191183</v>
      </c>
      <c r="AC117">
        <f aca="true" t="shared" si="44" ref="AC117:AC148">todms(RADIANS(P117))</f>
        <v>43.370620969916125</v>
      </c>
      <c r="AD117">
        <f aca="true" t="shared" si="45" ref="AD117:AD148">TAN(RADIANS(P117))</f>
        <v>0.9528994044821413</v>
      </c>
      <c r="AE117">
        <f aca="true" t="shared" si="46" ref="AE117:AE148">1/(2*AA117^2)</f>
        <v>1.229727056698552E-14</v>
      </c>
      <c r="AF117">
        <f aca="true" t="shared" si="47" ref="AF117:AF148">AD117/6/AA117^3</f>
        <v>6.125674154896338E-22</v>
      </c>
      <c r="AG117" s="26">
        <f>1/(6*AA117^2)*206265</f>
        <v>8.454988378330895E-10</v>
      </c>
    </row>
    <row r="118" spans="24:33" ht="12.75">
      <c r="X118" s="19"/>
      <c r="Y118" s="19"/>
      <c r="AB118" s="2"/>
      <c r="AG118" s="26"/>
    </row>
    <row r="119" spans="1:33" ht="12.75">
      <c r="A119" s="1" t="s">
        <v>48</v>
      </c>
      <c r="B119" s="2">
        <v>35.15</v>
      </c>
      <c r="C119" s="2">
        <v>36.25</v>
      </c>
      <c r="D119" s="2">
        <v>86</v>
      </c>
      <c r="E119" s="2">
        <v>34.2</v>
      </c>
      <c r="F119" s="2">
        <v>600000</v>
      </c>
      <c r="G119" s="2">
        <v>0</v>
      </c>
      <c r="H119">
        <f t="shared" si="26"/>
        <v>0.8175535852100736</v>
      </c>
      <c r="I119">
        <f t="shared" si="26"/>
        <v>0.8056721008790566</v>
      </c>
      <c r="J119">
        <f t="shared" si="27"/>
        <v>0.5198032633426999</v>
      </c>
      <c r="K119">
        <f t="shared" si="27"/>
        <v>0.5069661418951517</v>
      </c>
      <c r="L119" s="10">
        <f t="shared" si="28"/>
        <v>0.5854397264598651</v>
      </c>
      <c r="M119" s="10">
        <f t="shared" si="29"/>
        <v>0.5299826028986623</v>
      </c>
      <c r="N119" s="10">
        <f t="shared" si="30"/>
        <v>2.048298161946054</v>
      </c>
      <c r="O119" s="2">
        <f t="shared" si="31"/>
        <v>9008631.313169563</v>
      </c>
      <c r="P119" s="15">
        <f t="shared" si="39"/>
        <v>35.83406074593749</v>
      </c>
      <c r="Q119" s="15">
        <f t="shared" si="32"/>
        <v>0.5133603764390762</v>
      </c>
      <c r="R119" s="2">
        <f t="shared" si="33"/>
        <v>8842127.144148137</v>
      </c>
      <c r="S119" s="2">
        <f t="shared" si="34"/>
        <v>166504.16902142577</v>
      </c>
      <c r="T119" s="1" t="s">
        <v>48</v>
      </c>
      <c r="U119">
        <f t="shared" si="35"/>
        <v>6385466.710192831</v>
      </c>
      <c r="V119">
        <f t="shared" si="36"/>
        <v>6357306.355987521</v>
      </c>
      <c r="W119">
        <f t="shared" si="37"/>
        <v>6371370.97512424</v>
      </c>
      <c r="X119" s="19">
        <f t="shared" si="38"/>
        <v>2.540598728848132E-09</v>
      </c>
      <c r="Y119" s="19" t="str">
        <f t="shared" si="40"/>
        <v>Tennessee</v>
      </c>
      <c r="Z119">
        <f t="shared" si="41"/>
        <v>0.999948401424332</v>
      </c>
      <c r="AA119">
        <f t="shared" si="42"/>
        <v>6371042.22145687</v>
      </c>
      <c r="AB119" s="2">
        <f t="shared" si="43"/>
        <v>166504.16902142577</v>
      </c>
      <c r="AC119">
        <f t="shared" si="44"/>
        <v>35.500261868495585</v>
      </c>
      <c r="AD119">
        <f t="shared" si="45"/>
        <v>0.7221268282068751</v>
      </c>
      <c r="AE119">
        <f t="shared" si="46"/>
        <v>1.2318250682090305E-14</v>
      </c>
      <c r="AF119">
        <f t="shared" si="47"/>
        <v>4.654047163668483E-22</v>
      </c>
      <c r="AG119" s="26">
        <f>1/(6*AA119^2)*206265</f>
        <v>8.46941325647119E-10</v>
      </c>
    </row>
    <row r="120" spans="24:33" ht="12.75">
      <c r="X120" s="19"/>
      <c r="Y120" s="19"/>
      <c r="AB120" s="2"/>
      <c r="AG120" s="26"/>
    </row>
    <row r="121" spans="1:33" ht="12.75">
      <c r="A121" s="1" t="s">
        <v>49</v>
      </c>
      <c r="T121" s="1" t="s">
        <v>49</v>
      </c>
      <c r="X121" s="19"/>
      <c r="Y121" s="19" t="str">
        <f t="shared" si="40"/>
        <v>Texas</v>
      </c>
      <c r="AB121" s="2"/>
      <c r="AG121" s="26"/>
    </row>
    <row r="122" spans="1:33" ht="12.75">
      <c r="A122" t="s">
        <v>3</v>
      </c>
      <c r="B122" s="2">
        <v>34.39</v>
      </c>
      <c r="C122" s="2">
        <v>36.11</v>
      </c>
      <c r="D122" s="2">
        <v>101.3</v>
      </c>
      <c r="E122" s="2">
        <v>34</v>
      </c>
      <c r="F122" s="2">
        <v>200000</v>
      </c>
      <c r="G122" s="2">
        <v>1000000</v>
      </c>
      <c r="H122">
        <f t="shared" si="26"/>
        <v>0.8235320800270594</v>
      </c>
      <c r="I122">
        <f t="shared" si="26"/>
        <v>0.808075347644071</v>
      </c>
      <c r="J122">
        <f t="shared" si="27"/>
        <v>0.5264566798379632</v>
      </c>
      <c r="K122">
        <f t="shared" si="27"/>
        <v>0.5095231572373901</v>
      </c>
      <c r="L122" s="10">
        <f t="shared" si="28"/>
        <v>0.5795358622628475</v>
      </c>
      <c r="M122" s="10">
        <f t="shared" si="29"/>
        <v>0.5337049856248918</v>
      </c>
      <c r="N122" s="10">
        <f t="shared" si="30"/>
        <v>2.061012131398214</v>
      </c>
      <c r="O122" s="2">
        <f t="shared" si="31"/>
        <v>9135570.89140315</v>
      </c>
      <c r="P122" s="15">
        <f t="shared" si="39"/>
        <v>35.41790428240835</v>
      </c>
      <c r="Q122" s="15">
        <f t="shared" si="32"/>
        <v>0.517947692629058</v>
      </c>
      <c r="R122" s="2">
        <f t="shared" si="33"/>
        <v>8978273.395040715</v>
      </c>
      <c r="S122" s="2">
        <f t="shared" si="34"/>
        <v>1157297.4963624347</v>
      </c>
      <c r="T122" t="s">
        <v>3</v>
      </c>
      <c r="U122">
        <f t="shared" si="35"/>
        <v>6385319.374200661</v>
      </c>
      <c r="V122">
        <f t="shared" si="36"/>
        <v>6356866.307450738</v>
      </c>
      <c r="W122">
        <f t="shared" si="37"/>
        <v>6371076.9570119465</v>
      </c>
      <c r="X122" s="19">
        <f t="shared" si="38"/>
        <v>2.54083322586758E-09</v>
      </c>
      <c r="Y122" s="19" t="str">
        <f t="shared" si="40"/>
        <v>North</v>
      </c>
      <c r="Z122">
        <f t="shared" si="41"/>
        <v>0.9999108756634024</v>
      </c>
      <c r="AA122">
        <f t="shared" si="42"/>
        <v>6370509.139004741</v>
      </c>
      <c r="AB122" s="2">
        <f t="shared" si="43"/>
        <v>1157297.4963624347</v>
      </c>
      <c r="AC122">
        <f t="shared" si="44"/>
        <v>35.25044554162558</v>
      </c>
      <c r="AD122">
        <f t="shared" si="45"/>
        <v>0.7111334224210843</v>
      </c>
      <c r="AE122">
        <f t="shared" si="46"/>
        <v>1.2320312344002633E-14</v>
      </c>
      <c r="AF122">
        <f t="shared" si="47"/>
        <v>4.584346238431688E-22</v>
      </c>
      <c r="AG122" s="26">
        <f>1/(6*AA122^2)*206265</f>
        <v>8.47083075211901E-10</v>
      </c>
    </row>
    <row r="123" spans="1:33" ht="12.75">
      <c r="A123" t="s">
        <v>50</v>
      </c>
      <c r="B123" s="2">
        <v>32.08</v>
      </c>
      <c r="C123" s="2">
        <v>33.58</v>
      </c>
      <c r="D123" s="2">
        <v>98.3</v>
      </c>
      <c r="E123" s="2">
        <v>31.4</v>
      </c>
      <c r="F123" s="2">
        <v>600000</v>
      </c>
      <c r="G123" s="2">
        <v>2000000</v>
      </c>
      <c r="H123">
        <f t="shared" si="26"/>
        <v>0.8476156514641602</v>
      </c>
      <c r="I123">
        <f t="shared" si="26"/>
        <v>0.8302306779871057</v>
      </c>
      <c r="J123">
        <f t="shared" si="27"/>
        <v>0.5547620301427045</v>
      </c>
      <c r="K123">
        <f t="shared" si="27"/>
        <v>0.5340778422102789</v>
      </c>
      <c r="L123" s="10">
        <f t="shared" si="28"/>
        <v>0.5453944129724396</v>
      </c>
      <c r="M123" s="10">
        <f t="shared" si="29"/>
        <v>0.5600839727992402</v>
      </c>
      <c r="N123" s="10">
        <f t="shared" si="30"/>
        <v>2.1431424727296813</v>
      </c>
      <c r="O123" s="2">
        <f t="shared" si="31"/>
        <v>9964225.75549786</v>
      </c>
      <c r="P123" s="15">
        <f t="shared" si="39"/>
        <v>33.05162055436169</v>
      </c>
      <c r="Q123" s="15">
        <f t="shared" si="32"/>
        <v>0.5443577525296739</v>
      </c>
      <c r="R123" s="2">
        <f t="shared" si="33"/>
        <v>9810648.610990625</v>
      </c>
      <c r="S123" s="2">
        <f t="shared" si="34"/>
        <v>2153577.144507235</v>
      </c>
      <c r="T123" t="s">
        <v>50</v>
      </c>
      <c r="U123">
        <f t="shared" si="35"/>
        <v>6384496.8204827765</v>
      </c>
      <c r="V123">
        <f t="shared" si="36"/>
        <v>6354409.958680325</v>
      </c>
      <c r="W123">
        <f t="shared" si="37"/>
        <v>6369435.62470323</v>
      </c>
      <c r="X123" s="19">
        <f t="shared" si="38"/>
        <v>2.5421428831863494E-09</v>
      </c>
      <c r="Y123" s="19" t="str">
        <f t="shared" si="40"/>
        <v>North central</v>
      </c>
      <c r="Z123">
        <f t="shared" si="41"/>
        <v>0.9998726226277571</v>
      </c>
      <c r="AA123">
        <f t="shared" si="42"/>
        <v>6368624.302730685</v>
      </c>
      <c r="AB123" s="2">
        <f t="shared" si="43"/>
        <v>2153577.144507235</v>
      </c>
      <c r="AC123">
        <f t="shared" si="44"/>
        <v>33.03058339953155</v>
      </c>
      <c r="AD123">
        <f t="shared" si="45"/>
        <v>0.6506892493227419</v>
      </c>
      <c r="AE123">
        <f t="shared" si="46"/>
        <v>1.2327605978177843E-14</v>
      </c>
      <c r="AF123">
        <f t="shared" si="47"/>
        <v>4.198416224389161E-22</v>
      </c>
      <c r="AG123" s="26">
        <f>1/(6*AA123^2)*206265</f>
        <v>8.475845490296177E-10</v>
      </c>
    </row>
    <row r="124" spans="1:33" ht="12.75">
      <c r="A124" t="s">
        <v>19</v>
      </c>
      <c r="B124" s="2">
        <v>30.07</v>
      </c>
      <c r="C124" s="2">
        <v>31.53</v>
      </c>
      <c r="D124" s="2">
        <v>100.2</v>
      </c>
      <c r="E124" s="2">
        <v>29.4</v>
      </c>
      <c r="F124" s="2">
        <v>700000</v>
      </c>
      <c r="G124" s="2">
        <v>3000000</v>
      </c>
      <c r="H124">
        <f t="shared" si="26"/>
        <v>0.8657353693933596</v>
      </c>
      <c r="I124">
        <f t="shared" si="26"/>
        <v>0.849919410595331</v>
      </c>
      <c r="J124">
        <f t="shared" si="27"/>
        <v>0.5779326885952435</v>
      </c>
      <c r="K124">
        <f t="shared" si="27"/>
        <v>0.5576101392330888</v>
      </c>
      <c r="L124" s="10">
        <f t="shared" si="28"/>
        <v>0.5150588822366551</v>
      </c>
      <c r="M124" s="10">
        <f t="shared" si="29"/>
        <v>0.583165434158666</v>
      </c>
      <c r="N124" s="10">
        <f t="shared" si="30"/>
        <v>2.22933591404549</v>
      </c>
      <c r="O124" s="2">
        <f t="shared" si="31"/>
        <v>10770561.105089711</v>
      </c>
      <c r="P124" s="15">
        <f t="shared" si="39"/>
        <v>31.001390837810455</v>
      </c>
      <c r="Q124" s="15">
        <f t="shared" si="32"/>
        <v>0.5677120123417595</v>
      </c>
      <c r="R124" s="2">
        <f t="shared" si="33"/>
        <v>10622600.326760126</v>
      </c>
      <c r="S124" s="2">
        <f t="shared" si="34"/>
        <v>3147960.7783295847</v>
      </c>
      <c r="T124" t="s">
        <v>19</v>
      </c>
      <c r="U124">
        <f t="shared" si="35"/>
        <v>6383808.095789987</v>
      </c>
      <c r="V124">
        <f t="shared" si="36"/>
        <v>6352353.743250842</v>
      </c>
      <c r="W124">
        <f t="shared" si="37"/>
        <v>6368061.498877548</v>
      </c>
      <c r="X124" s="19">
        <f t="shared" si="38"/>
        <v>2.54324010910979E-09</v>
      </c>
      <c r="Y124" s="19" t="str">
        <f t="shared" si="40"/>
        <v>Central</v>
      </c>
      <c r="Z124">
        <f t="shared" si="41"/>
        <v>0.9998817436294024</v>
      </c>
      <c r="AA124">
        <f t="shared" si="42"/>
        <v>6367308.435036948</v>
      </c>
      <c r="AB124" s="2">
        <f t="shared" si="43"/>
        <v>3147960.7783295847</v>
      </c>
      <c r="AC124">
        <f t="shared" si="44"/>
        <v>31.000500701575504</v>
      </c>
      <c r="AD124">
        <f t="shared" si="45"/>
        <v>0.6008936581878165</v>
      </c>
      <c r="AE124">
        <f t="shared" si="46"/>
        <v>1.2332701749736712E-14</v>
      </c>
      <c r="AF124">
        <f t="shared" si="47"/>
        <v>3.879526357354048E-22</v>
      </c>
      <c r="AG124" s="26">
        <f>1/(6*AA124^2)*206265</f>
        <v>8.479349088031477E-10</v>
      </c>
    </row>
    <row r="125" spans="1:33" ht="12.75">
      <c r="A125" t="s">
        <v>56</v>
      </c>
      <c r="B125" s="2">
        <v>28.23</v>
      </c>
      <c r="C125" s="2">
        <v>30.17</v>
      </c>
      <c r="D125" s="2">
        <v>99</v>
      </c>
      <c r="E125" s="2">
        <v>27.5</v>
      </c>
      <c r="F125" s="2">
        <v>600000</v>
      </c>
      <c r="G125" s="2">
        <v>4000000</v>
      </c>
      <c r="H125">
        <f t="shared" si="26"/>
        <v>0.8804530996156403</v>
      </c>
      <c r="I125">
        <f t="shared" si="26"/>
        <v>0.8642782388410799</v>
      </c>
      <c r="J125">
        <f t="shared" si="27"/>
        <v>0.5982184268514883</v>
      </c>
      <c r="K125">
        <f t="shared" si="27"/>
        <v>0.5760005247443407</v>
      </c>
      <c r="L125" s="10">
        <f t="shared" si="28"/>
        <v>0.48991262514436473</v>
      </c>
      <c r="M125" s="10">
        <f t="shared" si="29"/>
        <v>0.6047300143459946</v>
      </c>
      <c r="N125" s="10">
        <f t="shared" si="30"/>
        <v>2.311568688515837</v>
      </c>
      <c r="O125" s="2">
        <f t="shared" si="31"/>
        <v>11523512.55997588</v>
      </c>
      <c r="P125" s="15">
        <f t="shared" si="39"/>
        <v>29.334838841714397</v>
      </c>
      <c r="Q125" s="15">
        <f t="shared" si="32"/>
        <v>0.5870390475176104</v>
      </c>
      <c r="R125" s="2">
        <f t="shared" si="33"/>
        <v>11357106.13085866</v>
      </c>
      <c r="S125" s="2">
        <f t="shared" si="34"/>
        <v>4166406.4291172195</v>
      </c>
      <c r="T125" t="s">
        <v>56</v>
      </c>
      <c r="U125">
        <f t="shared" si="35"/>
        <v>6383267.211788376</v>
      </c>
      <c r="V125">
        <f t="shared" si="36"/>
        <v>6350739.223192463</v>
      </c>
      <c r="W125">
        <f t="shared" si="37"/>
        <v>6366982.444928117</v>
      </c>
      <c r="X125" s="19">
        <f t="shared" si="38"/>
        <v>2.5441022210613926E-09</v>
      </c>
      <c r="Y125" s="19" t="str">
        <f t="shared" si="40"/>
        <v>South central</v>
      </c>
      <c r="Z125">
        <f t="shared" si="41"/>
        <v>0.9998632435911692</v>
      </c>
      <c r="AA125">
        <f t="shared" si="42"/>
        <v>6366111.71927386</v>
      </c>
      <c r="AB125" s="2">
        <f t="shared" si="43"/>
        <v>4166406.4291172195</v>
      </c>
      <c r="AC125">
        <f t="shared" si="44"/>
        <v>29.200541982982873</v>
      </c>
      <c r="AD125">
        <f t="shared" si="45"/>
        <v>0.5619736388432728</v>
      </c>
      <c r="AE125">
        <f t="shared" si="46"/>
        <v>1.2337338842651952E-14</v>
      </c>
      <c r="AF125">
        <f t="shared" si="47"/>
        <v>3.6302950732373686E-22</v>
      </c>
      <c r="AG125" s="26">
        <f>1/(6*AA125^2)*206265</f>
        <v>8.48253732126535E-10</v>
      </c>
    </row>
    <row r="126" spans="1:33" ht="12.75">
      <c r="A126" t="s">
        <v>4</v>
      </c>
      <c r="B126" s="2">
        <v>26.1</v>
      </c>
      <c r="C126" s="2">
        <v>27.5</v>
      </c>
      <c r="D126" s="2">
        <v>98.3</v>
      </c>
      <c r="E126" s="2">
        <v>25.4</v>
      </c>
      <c r="F126" s="2">
        <v>300000</v>
      </c>
      <c r="G126" s="2">
        <v>5000000</v>
      </c>
      <c r="H126">
        <f t="shared" si="26"/>
        <v>0.8980998544308216</v>
      </c>
      <c r="I126">
        <f t="shared" si="26"/>
        <v>0.8849554598216747</v>
      </c>
      <c r="J126">
        <f t="shared" si="27"/>
        <v>0.6246910803363058</v>
      </c>
      <c r="K126">
        <f t="shared" si="27"/>
        <v>0.6047300143459946</v>
      </c>
      <c r="L126" s="10">
        <f t="shared" si="28"/>
        <v>0.45400684816650855</v>
      </c>
      <c r="M126" s="10">
        <f t="shared" si="29"/>
        <v>0.6307484317263399</v>
      </c>
      <c r="N126" s="10">
        <f t="shared" si="30"/>
        <v>2.449241294889174</v>
      </c>
      <c r="O126" s="2">
        <f t="shared" si="31"/>
        <v>12672396.458795365</v>
      </c>
      <c r="P126" s="15">
        <f t="shared" si="39"/>
        <v>27.00105128326201</v>
      </c>
      <c r="Q126" s="15">
        <f t="shared" si="32"/>
        <v>0.614654305983083</v>
      </c>
      <c r="R126" s="2">
        <f t="shared" si="33"/>
        <v>12524558.068980921</v>
      </c>
      <c r="S126" s="2">
        <f t="shared" si="34"/>
        <v>5147838.389814444</v>
      </c>
      <c r="T126" t="s">
        <v>4</v>
      </c>
      <c r="U126">
        <f t="shared" si="35"/>
        <v>6382542.029647124</v>
      </c>
      <c r="V126">
        <f t="shared" si="36"/>
        <v>6348575.008852313</v>
      </c>
      <c r="W126">
        <f t="shared" si="37"/>
        <v>6365535.862939368</v>
      </c>
      <c r="X126" s="19">
        <f t="shared" si="38"/>
        <v>2.5452586580692097E-09</v>
      </c>
      <c r="Y126" s="19" t="str">
        <f t="shared" si="40"/>
        <v>South</v>
      </c>
      <c r="Z126">
        <f t="shared" si="41"/>
        <v>0.9998947941137286</v>
      </c>
      <c r="AA126">
        <f t="shared" si="42"/>
        <v>6364866.171097315</v>
      </c>
      <c r="AB126" s="2">
        <f t="shared" si="43"/>
        <v>5147838.389814444</v>
      </c>
      <c r="AC126">
        <f t="shared" si="44"/>
        <v>27.00037846194274</v>
      </c>
      <c r="AD126">
        <f t="shared" si="45"/>
        <v>0.509548561594517</v>
      </c>
      <c r="AE126">
        <f t="shared" si="46"/>
        <v>1.2342167931922481E-14</v>
      </c>
      <c r="AF126">
        <f t="shared" si="47"/>
        <v>3.2935669803642556E-22</v>
      </c>
      <c r="AG126" s="26">
        <f>1/(6*AA126^2)*206265</f>
        <v>8.485857561593301E-10</v>
      </c>
    </row>
    <row r="127" spans="24:33" ht="12.75">
      <c r="X127" s="19"/>
      <c r="Y127" s="19"/>
      <c r="AB127" s="2"/>
      <c r="AG127" s="26"/>
    </row>
    <row r="128" spans="1:33" ht="12.75">
      <c r="A128" s="1" t="s">
        <v>51</v>
      </c>
      <c r="T128" s="1" t="s">
        <v>51</v>
      </c>
      <c r="X128" s="19"/>
      <c r="Y128" s="19" t="str">
        <f t="shared" si="40"/>
        <v>Utah</v>
      </c>
      <c r="AB128" s="2"/>
      <c r="AG128" s="26"/>
    </row>
    <row r="129" spans="1:33" ht="12.75">
      <c r="A129" t="s">
        <v>3</v>
      </c>
      <c r="B129" s="2">
        <v>40.43</v>
      </c>
      <c r="C129" s="2">
        <v>41.47</v>
      </c>
      <c r="D129" s="2">
        <v>111.3</v>
      </c>
      <c r="E129" s="2">
        <v>40.2</v>
      </c>
      <c r="F129" s="2">
        <v>500000</v>
      </c>
      <c r="G129" s="2">
        <v>1000000</v>
      </c>
      <c r="H129">
        <f t="shared" si="26"/>
        <v>0.7590264660598224</v>
      </c>
      <c r="I129">
        <f t="shared" si="26"/>
        <v>0.7467804513312087</v>
      </c>
      <c r="J129">
        <f t="shared" si="27"/>
        <v>0.4607251412102481</v>
      </c>
      <c r="K129">
        <f t="shared" si="27"/>
        <v>0.44949871225156396</v>
      </c>
      <c r="L129" s="10">
        <f t="shared" si="28"/>
        <v>0.6593554818187553</v>
      </c>
      <c r="M129" s="10">
        <f t="shared" si="29"/>
        <v>0.4647823904284569</v>
      </c>
      <c r="N129" s="10">
        <f t="shared" si="30"/>
        <v>1.918883986085705</v>
      </c>
      <c r="O129" s="2">
        <f t="shared" si="31"/>
        <v>7384852.147193731</v>
      </c>
      <c r="P129" s="15">
        <f t="shared" si="39"/>
        <v>41.25073667994111</v>
      </c>
      <c r="Q129" s="15">
        <f t="shared" si="32"/>
        <v>0.45509264201239963</v>
      </c>
      <c r="R129" s="2">
        <f t="shared" si="33"/>
        <v>7282974.678645786</v>
      </c>
      <c r="S129" s="2">
        <f t="shared" si="34"/>
        <v>1101877.468547945</v>
      </c>
      <c r="T129" t="s">
        <v>3</v>
      </c>
      <c r="U129">
        <f t="shared" si="35"/>
        <v>6387438.709565407</v>
      </c>
      <c r="V129">
        <f t="shared" si="36"/>
        <v>6363198.083285484</v>
      </c>
      <c r="W129">
        <f t="shared" si="37"/>
        <v>6375306.8752657</v>
      </c>
      <c r="X129" s="19">
        <f t="shared" si="38"/>
        <v>2.537462736683037E-09</v>
      </c>
      <c r="Y129" s="19" t="str">
        <f t="shared" si="40"/>
        <v>North</v>
      </c>
      <c r="Z129">
        <f t="shared" si="41"/>
        <v>0.999956841041356</v>
      </c>
      <c r="AA129">
        <f t="shared" si="42"/>
        <v>6375031.723659927</v>
      </c>
      <c r="AB129" s="2">
        <f t="shared" si="43"/>
        <v>1101877.468547945</v>
      </c>
      <c r="AC129">
        <f t="shared" si="44"/>
        <v>41.15026520473055</v>
      </c>
      <c r="AD129">
        <f t="shared" si="45"/>
        <v>0.8769992092777594</v>
      </c>
      <c r="AE129">
        <f t="shared" si="46"/>
        <v>1.2302837955291381E-14</v>
      </c>
      <c r="AF129">
        <f t="shared" si="47"/>
        <v>5.641581943620831E-22</v>
      </c>
      <c r="AG129" s="26">
        <f>1/(6*AA129^2)*206265</f>
        <v>8.45881623616059E-10</v>
      </c>
    </row>
    <row r="130" spans="1:33" ht="12.75">
      <c r="A130" t="s">
        <v>19</v>
      </c>
      <c r="B130" s="2">
        <v>39.01</v>
      </c>
      <c r="C130" s="2">
        <v>40.39</v>
      </c>
      <c r="D130" s="2">
        <v>111.3</v>
      </c>
      <c r="E130" s="2">
        <v>38.2</v>
      </c>
      <c r="F130" s="2">
        <v>500000</v>
      </c>
      <c r="G130" s="2">
        <v>2000000</v>
      </c>
      <c r="H130">
        <f t="shared" si="26"/>
        <v>0.7779956316418836</v>
      </c>
      <c r="I130">
        <f t="shared" si="26"/>
        <v>0.7597831090653611</v>
      </c>
      <c r="J130">
        <f t="shared" si="27"/>
        <v>0.47881246402334626</v>
      </c>
      <c r="K130">
        <f t="shared" si="27"/>
        <v>0.46142987538874797</v>
      </c>
      <c r="L130" s="10">
        <f t="shared" si="28"/>
        <v>0.6405785958272546</v>
      </c>
      <c r="M130" s="10">
        <f t="shared" si="29"/>
        <v>0.4861529195549166</v>
      </c>
      <c r="N130" s="10">
        <f t="shared" si="30"/>
        <v>1.946632205546781</v>
      </c>
      <c r="O130" s="2">
        <f t="shared" si="31"/>
        <v>7822240.610437598</v>
      </c>
      <c r="P130" s="15">
        <f t="shared" si="39"/>
        <v>39.8349774742588</v>
      </c>
      <c r="Q130" s="15">
        <f t="shared" si="32"/>
        <v>0.47007540731102165</v>
      </c>
      <c r="R130" s="2">
        <f t="shared" si="33"/>
        <v>7655530.393123649</v>
      </c>
      <c r="S130" s="2">
        <f t="shared" si="34"/>
        <v>2166710.217313949</v>
      </c>
      <c r="T130" t="s">
        <v>19</v>
      </c>
      <c r="U130">
        <f t="shared" si="35"/>
        <v>6386915.392948367</v>
      </c>
      <c r="V130">
        <f t="shared" si="36"/>
        <v>6361634.219599716</v>
      </c>
      <c r="W130">
        <f t="shared" si="37"/>
        <v>6374262.272723683</v>
      </c>
      <c r="X130" s="19">
        <f t="shared" si="38"/>
        <v>2.5382944744128748E-09</v>
      </c>
      <c r="Y130" s="19" t="str">
        <f t="shared" si="40"/>
        <v>Central</v>
      </c>
      <c r="Z130">
        <f t="shared" si="41"/>
        <v>0.9998988207649433</v>
      </c>
      <c r="AA130">
        <f t="shared" si="42"/>
        <v>6373617.329742878</v>
      </c>
      <c r="AB130" s="2">
        <f t="shared" si="43"/>
        <v>2166710.217313949</v>
      </c>
      <c r="AC130">
        <f t="shared" si="44"/>
        <v>39.50059189068658</v>
      </c>
      <c r="AD130">
        <f t="shared" si="45"/>
        <v>0.8342033591128852</v>
      </c>
      <c r="AE130">
        <f t="shared" si="46"/>
        <v>1.2308298901260996E-14</v>
      </c>
      <c r="AF130">
        <f t="shared" si="47"/>
        <v>5.369857103742776E-22</v>
      </c>
      <c r="AG130" s="26">
        <f>1/(6*AA130^2)*206265</f>
        <v>8.462570909561998E-10</v>
      </c>
    </row>
    <row r="131" spans="1:33" ht="12.75">
      <c r="A131" t="s">
        <v>4</v>
      </c>
      <c r="B131" s="2">
        <v>37.13</v>
      </c>
      <c r="C131" s="2">
        <v>38.21</v>
      </c>
      <c r="D131" s="2">
        <v>111.3</v>
      </c>
      <c r="E131" s="2">
        <v>36.4</v>
      </c>
      <c r="F131" s="2">
        <v>500000</v>
      </c>
      <c r="G131" s="2">
        <v>3000000</v>
      </c>
      <c r="H131">
        <f t="shared" si="26"/>
        <v>0.7973309200190963</v>
      </c>
      <c r="I131">
        <f t="shared" si="26"/>
        <v>0.7852477238838723</v>
      </c>
      <c r="J131">
        <f t="shared" si="27"/>
        <v>0.49823795349678907</v>
      </c>
      <c r="K131">
        <f t="shared" si="27"/>
        <v>0.4859733942436515</v>
      </c>
      <c r="L131" s="10">
        <f t="shared" si="28"/>
        <v>0.612687337234627</v>
      </c>
      <c r="M131" s="10">
        <f t="shared" si="29"/>
        <v>0.5042321744547452</v>
      </c>
      <c r="N131" s="10">
        <f t="shared" si="30"/>
        <v>1.994235020321666</v>
      </c>
      <c r="O131" s="2">
        <f t="shared" si="31"/>
        <v>8361336.233211677</v>
      </c>
      <c r="P131" s="15">
        <f t="shared" si="39"/>
        <v>37.78406962422643</v>
      </c>
      <c r="Q131" s="15">
        <f t="shared" si="32"/>
        <v>0.49208320251665116</v>
      </c>
      <c r="R131" s="2">
        <f t="shared" si="33"/>
        <v>8237322.992998059</v>
      </c>
      <c r="S131" s="2">
        <f t="shared" si="34"/>
        <v>3124013.2402136177</v>
      </c>
      <c r="T131" t="s">
        <v>4</v>
      </c>
      <c r="U131">
        <f t="shared" si="35"/>
        <v>6386166.187065958</v>
      </c>
      <c r="V131">
        <f t="shared" si="36"/>
        <v>6359395.761242241</v>
      </c>
      <c r="W131">
        <f t="shared" si="37"/>
        <v>6372766.917173088</v>
      </c>
      <c r="X131" s="19">
        <f t="shared" si="38"/>
        <v>2.539485824450126E-09</v>
      </c>
      <c r="Y131" s="19" t="str">
        <f t="shared" si="40"/>
        <v>South</v>
      </c>
      <c r="Z131">
        <f t="shared" si="41"/>
        <v>0.9999512970776572</v>
      </c>
      <c r="AA131">
        <f t="shared" si="42"/>
        <v>6372456.544800811</v>
      </c>
      <c r="AB131" s="2">
        <f t="shared" si="43"/>
        <v>3124013.2402136177</v>
      </c>
      <c r="AC131">
        <f t="shared" si="44"/>
        <v>37.47026506467732</v>
      </c>
      <c r="AD131">
        <f t="shared" si="45"/>
        <v>0.7752342803041992</v>
      </c>
      <c r="AE131">
        <f t="shared" si="46"/>
        <v>1.2312783385129471E-14</v>
      </c>
      <c r="AF131">
        <f t="shared" si="47"/>
        <v>4.992994302383122E-22</v>
      </c>
      <c r="AG131" s="26">
        <f>1/(6*AA131^2)*206265</f>
        <v>8.465654216445768E-10</v>
      </c>
    </row>
    <row r="132" spans="24:33" ht="12.75">
      <c r="X132" s="19"/>
      <c r="Y132" s="19"/>
      <c r="AB132" s="2"/>
      <c r="AG132" s="26"/>
    </row>
    <row r="133" spans="1:33" ht="12.75">
      <c r="A133" s="1" t="s">
        <v>52</v>
      </c>
      <c r="T133" s="1" t="s">
        <v>52</v>
      </c>
      <c r="X133" s="19"/>
      <c r="Y133" s="19" t="str">
        <f t="shared" si="40"/>
        <v>Virginia</v>
      </c>
      <c r="AB133" s="2"/>
      <c r="AG133" s="26"/>
    </row>
    <row r="134" spans="1:33" ht="12.75">
      <c r="A134" t="s">
        <v>3</v>
      </c>
      <c r="B134" s="2">
        <v>38.02</v>
      </c>
      <c r="C134" s="2">
        <v>39.12</v>
      </c>
      <c r="D134" s="2">
        <v>78.3</v>
      </c>
      <c r="E134" s="2">
        <v>37.4</v>
      </c>
      <c r="F134" s="2">
        <v>3500000</v>
      </c>
      <c r="G134" s="2">
        <v>2000000</v>
      </c>
      <c r="H134">
        <f t="shared" si="26"/>
        <v>0.7886551501155035</v>
      </c>
      <c r="I134">
        <f t="shared" si="26"/>
        <v>0.7759827282479534</v>
      </c>
      <c r="J134">
        <f t="shared" si="27"/>
        <v>0.4893886058018457</v>
      </c>
      <c r="K134">
        <f t="shared" si="27"/>
        <v>0.4768500164659045</v>
      </c>
      <c r="L134" s="10">
        <f t="shared" si="28"/>
        <v>0.6241178646493839</v>
      </c>
      <c r="M134" s="10">
        <f t="shared" si="29"/>
        <v>0.49335429647729767</v>
      </c>
      <c r="N134" s="10">
        <f t="shared" si="30"/>
        <v>1.97384526395331</v>
      </c>
      <c r="O134" s="2">
        <f t="shared" si="31"/>
        <v>8100315.684486415</v>
      </c>
      <c r="P134" s="15">
        <f t="shared" si="39"/>
        <v>38.61747031554156</v>
      </c>
      <c r="Q134" s="15">
        <f t="shared" si="32"/>
        <v>0.4830956968039363</v>
      </c>
      <c r="R134" s="2">
        <f t="shared" si="33"/>
        <v>7994777.905354041</v>
      </c>
      <c r="S134" s="2">
        <f t="shared" si="34"/>
        <v>2105537.7791323746</v>
      </c>
      <c r="T134" t="s">
        <v>3</v>
      </c>
      <c r="U134">
        <f t="shared" si="35"/>
        <v>6386469.165620988</v>
      </c>
      <c r="V134">
        <f t="shared" si="36"/>
        <v>6360300.9296460105</v>
      </c>
      <c r="W134">
        <f t="shared" si="37"/>
        <v>6373371.617225435</v>
      </c>
      <c r="X134" s="19">
        <f t="shared" si="38"/>
        <v>2.5390039588211616E-09</v>
      </c>
      <c r="Y134" s="19" t="str">
        <f t="shared" si="40"/>
        <v>North</v>
      </c>
      <c r="Z134">
        <f t="shared" si="41"/>
        <v>0.9999483851559359</v>
      </c>
      <c r="AA134">
        <f t="shared" si="42"/>
        <v>6373042.656643249</v>
      </c>
      <c r="AB134" s="2">
        <f t="shared" si="43"/>
        <v>2105537.7791323746</v>
      </c>
      <c r="AC134">
        <f t="shared" si="44"/>
        <v>38.37028931354979</v>
      </c>
      <c r="AD134">
        <f t="shared" si="45"/>
        <v>0.7987888600049959</v>
      </c>
      <c r="AE134">
        <f t="shared" si="46"/>
        <v>1.2310518741161036E-14</v>
      </c>
      <c r="AF134">
        <f t="shared" si="47"/>
        <v>5.143281245247241E-22</v>
      </c>
      <c r="AG134" s="26">
        <f>1/(6*AA134^2)*206265</f>
        <v>8.46409716048527E-10</v>
      </c>
    </row>
    <row r="135" spans="1:33" ht="12.75">
      <c r="A135" t="s">
        <v>4</v>
      </c>
      <c r="B135" s="2">
        <v>36.46</v>
      </c>
      <c r="C135" s="2">
        <v>37.58</v>
      </c>
      <c r="D135" s="2">
        <v>78.3</v>
      </c>
      <c r="E135" s="2">
        <v>36.2</v>
      </c>
      <c r="F135" s="2">
        <v>35000000</v>
      </c>
      <c r="G135" s="2">
        <v>1000000</v>
      </c>
      <c r="H135">
        <f t="shared" si="26"/>
        <v>0.8020421213078418</v>
      </c>
      <c r="I135">
        <f t="shared" si="26"/>
        <v>0.7893694260948795</v>
      </c>
      <c r="J135">
        <f t="shared" si="27"/>
        <v>0.5031402262982093</v>
      </c>
      <c r="K135">
        <f t="shared" si="27"/>
        <v>0.49010874009715394</v>
      </c>
      <c r="L135" s="10">
        <f t="shared" si="28"/>
        <v>0.6069248465904709</v>
      </c>
      <c r="M135" s="10">
        <f t="shared" si="29"/>
        <v>0.5078787708302263</v>
      </c>
      <c r="N135" s="10">
        <f t="shared" si="30"/>
        <v>2.0050009970858107</v>
      </c>
      <c r="O135" s="2">
        <f t="shared" si="31"/>
        <v>8476701.807805492</v>
      </c>
      <c r="P135" s="15">
        <f t="shared" si="39"/>
        <v>37.367479955161826</v>
      </c>
      <c r="Q135" s="15">
        <f t="shared" si="32"/>
        <v>0.4965991803742804</v>
      </c>
      <c r="R135" s="2">
        <f t="shared" si="33"/>
        <v>8361937.6249817815</v>
      </c>
      <c r="S135" s="2">
        <f t="shared" si="34"/>
        <v>1114764.1828237101</v>
      </c>
      <c r="T135" t="s">
        <v>4</v>
      </c>
      <c r="U135">
        <f t="shared" si="35"/>
        <v>6386015.585309682</v>
      </c>
      <c r="V135">
        <f t="shared" si="36"/>
        <v>6358945.860523965</v>
      </c>
      <c r="W135">
        <f t="shared" si="37"/>
        <v>6372466.349181181</v>
      </c>
      <c r="X135" s="19">
        <f t="shared" si="38"/>
        <v>2.5397253882591085E-09</v>
      </c>
      <c r="Y135" s="19" t="str">
        <f t="shared" si="40"/>
        <v>South</v>
      </c>
      <c r="Z135">
        <f t="shared" si="41"/>
        <v>0.9999454013969105</v>
      </c>
      <c r="AA135">
        <f t="shared" si="42"/>
        <v>6372118.421420281</v>
      </c>
      <c r="AB135" s="2">
        <f t="shared" si="43"/>
        <v>1114764.1828237101</v>
      </c>
      <c r="AC135">
        <f t="shared" si="44"/>
        <v>37.22029278381455</v>
      </c>
      <c r="AD135">
        <f t="shared" si="45"/>
        <v>0.763658759986664</v>
      </c>
      <c r="AE135">
        <f t="shared" si="46"/>
        <v>1.2314090124936695E-14</v>
      </c>
      <c r="AF135">
        <f t="shared" si="47"/>
        <v>4.919223704088651E-22</v>
      </c>
      <c r="AG135" s="26">
        <f>1/(6*AA135^2)*206265</f>
        <v>8.466552665400223E-10</v>
      </c>
    </row>
    <row r="136" spans="24:33" ht="12.75">
      <c r="X136" s="19"/>
      <c r="Y136" s="19"/>
      <c r="AB136" s="2"/>
      <c r="AG136" s="26"/>
    </row>
    <row r="137" spans="1:33" ht="12.75">
      <c r="A137" s="1" t="s">
        <v>53</v>
      </c>
      <c r="T137" s="1" t="s">
        <v>53</v>
      </c>
      <c r="X137" s="19"/>
      <c r="Y137" s="19" t="str">
        <f t="shared" si="40"/>
        <v>Washington</v>
      </c>
      <c r="AB137" s="2"/>
      <c r="AG137" s="26"/>
    </row>
    <row r="138" spans="1:33" ht="12.75">
      <c r="A138" t="s">
        <v>3</v>
      </c>
      <c r="B138" s="2">
        <v>47.3</v>
      </c>
      <c r="C138" s="2">
        <v>48.44</v>
      </c>
      <c r="D138" s="2">
        <v>120.5</v>
      </c>
      <c r="E138" s="2">
        <v>47</v>
      </c>
      <c r="F138" s="2">
        <v>500000</v>
      </c>
      <c r="G138" s="2">
        <v>0</v>
      </c>
      <c r="H138">
        <f t="shared" si="26"/>
        <v>0.6768227810909191</v>
      </c>
      <c r="I138">
        <f t="shared" si="26"/>
        <v>0.6608153256873666</v>
      </c>
      <c r="J138">
        <f t="shared" si="27"/>
        <v>0.3908051769758267</v>
      </c>
      <c r="K138">
        <f t="shared" si="27"/>
        <v>0.3784412641155229</v>
      </c>
      <c r="L138" s="10">
        <f t="shared" si="28"/>
        <v>0.7445203265548538</v>
      </c>
      <c r="M138" s="10">
        <f t="shared" si="29"/>
        <v>0.39584609273069</v>
      </c>
      <c r="N138" s="10">
        <f t="shared" si="30"/>
        <v>1.829752097157332</v>
      </c>
      <c r="O138" s="2">
        <f t="shared" si="31"/>
        <v>5853778.605833054</v>
      </c>
      <c r="P138" s="15">
        <f t="shared" si="39"/>
        <v>48.11791514382798</v>
      </c>
      <c r="Q138" s="15">
        <f t="shared" si="32"/>
        <v>0.38459834490432265</v>
      </c>
      <c r="R138" s="2">
        <f t="shared" si="33"/>
        <v>5729486.218991703</v>
      </c>
      <c r="S138" s="2">
        <f t="shared" si="34"/>
        <v>124292.38684135024</v>
      </c>
      <c r="T138" t="s">
        <v>3</v>
      </c>
      <c r="U138">
        <f t="shared" si="35"/>
        <v>6390003.923618662</v>
      </c>
      <c r="V138">
        <f t="shared" si="36"/>
        <v>6370867.599401776</v>
      </c>
      <c r="W138">
        <f t="shared" si="37"/>
        <v>6380428.587252768</v>
      </c>
      <c r="X138" s="19">
        <f t="shared" si="38"/>
        <v>2.533390616139144E-09</v>
      </c>
      <c r="Y138" s="19" t="str">
        <f t="shared" si="40"/>
        <v>North</v>
      </c>
      <c r="Z138">
        <f t="shared" si="41"/>
        <v>0.999942253481462</v>
      </c>
      <c r="AA138">
        <f t="shared" si="42"/>
        <v>6380060.139715074</v>
      </c>
      <c r="AB138" s="2">
        <f t="shared" si="43"/>
        <v>124292.38684135024</v>
      </c>
      <c r="AC138">
        <f t="shared" si="44"/>
        <v>48.07044945172179</v>
      </c>
      <c r="AD138">
        <f t="shared" si="45"/>
        <v>1.1152195291017037</v>
      </c>
      <c r="AE138">
        <f t="shared" si="46"/>
        <v>1.2283452743331226E-14</v>
      </c>
      <c r="AF138">
        <f t="shared" si="47"/>
        <v>7.157062307760969E-22</v>
      </c>
      <c r="AG138" s="26">
        <f>1/(6*AA138^2)*206265</f>
        <v>8.445487933677385E-10</v>
      </c>
    </row>
    <row r="139" spans="1:33" ht="12.75">
      <c r="A139" t="s">
        <v>4</v>
      </c>
      <c r="B139" s="2">
        <v>45.5</v>
      </c>
      <c r="C139" s="2">
        <v>47.2</v>
      </c>
      <c r="D139" s="2">
        <v>120.3</v>
      </c>
      <c r="E139" s="2">
        <v>45.2</v>
      </c>
      <c r="F139" s="2">
        <v>500000</v>
      </c>
      <c r="G139" s="2">
        <v>0</v>
      </c>
      <c r="H139">
        <f t="shared" si="26"/>
        <v>0.6979510011661256</v>
      </c>
      <c r="I139">
        <f t="shared" si="26"/>
        <v>0.6789618689128722</v>
      </c>
      <c r="J139">
        <f t="shared" si="27"/>
        <v>0.4076742772581562</v>
      </c>
      <c r="K139">
        <f t="shared" si="27"/>
        <v>0.39248362589581337</v>
      </c>
      <c r="L139" s="10">
        <f t="shared" si="28"/>
        <v>0.7263957840216736</v>
      </c>
      <c r="M139" s="10">
        <f t="shared" si="29"/>
        <v>0.4127724795581335</v>
      </c>
      <c r="N139" s="10">
        <f t="shared" si="30"/>
        <v>1.8438194350905792</v>
      </c>
      <c r="O139" s="2">
        <f t="shared" si="31"/>
        <v>6183952.277465265</v>
      </c>
      <c r="P139" s="15">
        <f t="shared" si="39"/>
        <v>46.58508478670353</v>
      </c>
      <c r="Q139" s="15">
        <f t="shared" si="32"/>
        <v>0.40004198669183116</v>
      </c>
      <c r="R139" s="2">
        <f t="shared" si="33"/>
        <v>6044820.365230372</v>
      </c>
      <c r="S139" s="2">
        <f t="shared" si="34"/>
        <v>139131.91223489307</v>
      </c>
      <c r="T139" t="s">
        <v>4</v>
      </c>
      <c r="U139">
        <f t="shared" si="35"/>
        <v>6389431.664457966</v>
      </c>
      <c r="V139">
        <f t="shared" si="36"/>
        <v>6369156.116483064</v>
      </c>
      <c r="W139">
        <f t="shared" si="37"/>
        <v>6379285.8351490265</v>
      </c>
      <c r="X139" s="19">
        <f t="shared" si="38"/>
        <v>2.5342983342856546E-09</v>
      </c>
      <c r="Y139" s="19" t="str">
        <f t="shared" si="40"/>
        <v>South</v>
      </c>
      <c r="Z139">
        <f t="shared" si="41"/>
        <v>0.9999145976443218</v>
      </c>
      <c r="AA139">
        <f t="shared" si="42"/>
        <v>6378741.02911116</v>
      </c>
      <c r="AB139" s="2">
        <f t="shared" si="43"/>
        <v>139131.91223489307</v>
      </c>
      <c r="AC139">
        <f t="shared" si="44"/>
        <v>46.350630523158785</v>
      </c>
      <c r="AD139">
        <f t="shared" si="45"/>
        <v>1.0569190821105388</v>
      </c>
      <c r="AE139">
        <f t="shared" si="46"/>
        <v>1.2288533654467185E-14</v>
      </c>
      <c r="AF139">
        <f t="shared" si="47"/>
        <v>6.7871207663548E-22</v>
      </c>
      <c r="AG139" s="26">
        <f>1/(6*AA139^2)*206265</f>
        <v>8.448981314128913E-10</v>
      </c>
    </row>
    <row r="140" spans="24:33" ht="12.75">
      <c r="X140" s="19"/>
      <c r="Y140" s="19"/>
      <c r="AB140" s="2"/>
      <c r="AG140" s="26"/>
    </row>
    <row r="141" spans="1:33" ht="12.75">
      <c r="A141" s="1" t="s">
        <v>54</v>
      </c>
      <c r="T141" s="1" t="s">
        <v>54</v>
      </c>
      <c r="X141" s="19"/>
      <c r="Y141" s="19" t="str">
        <f t="shared" si="40"/>
        <v>West Virginia</v>
      </c>
      <c r="AB141" s="2"/>
      <c r="AG141" s="26"/>
    </row>
    <row r="142" spans="1:33" ht="12.75">
      <c r="A142" t="s">
        <v>3</v>
      </c>
      <c r="B142" s="2">
        <v>39</v>
      </c>
      <c r="C142" s="2">
        <v>40.15</v>
      </c>
      <c r="D142" s="2">
        <v>79.3</v>
      </c>
      <c r="E142" s="2">
        <v>38.3</v>
      </c>
      <c r="F142" s="2">
        <v>600000</v>
      </c>
      <c r="G142" s="2">
        <v>0</v>
      </c>
      <c r="H142">
        <f aca="true" t="shared" si="48" ref="H142:I148">COS(torad(B142))/(SQRT(1-$I$3*SIN(torad(B142))^2))</f>
        <v>0.778178226635986</v>
      </c>
      <c r="I142">
        <f t="shared" si="48"/>
        <v>0.7643012304972993</v>
      </c>
      <c r="J142">
        <f>TAN(PI()/4-torad(B142)/2)/POWER(((1-$I$4*SIN(torad(B142)))/(1+$I$4*SIN(torad(B142)))),$I$4/2)</f>
        <v>0.4789910129982115</v>
      </c>
      <c r="K142">
        <f>TAN(PI()/4-torad(C142)/2)/POWER(((1-$I$4*SIN(torad(C142)))/(1+$I$4*SIN(torad(C142)))),$I$4/2)</f>
        <v>0.46566601857039186</v>
      </c>
      <c r="L142" s="10">
        <f aca="true" t="shared" si="49" ref="L142:L148">(LN(I142)-LN(H142))/(LN(K142)-LN(J142))</f>
        <v>0.6377729791745229</v>
      </c>
      <c r="M142" s="10">
        <f aca="true" t="shared" si="50" ref="M142:M148">TAN(PI()/4-torad(E142)/2)/POWER(((1-$I$4*SIN(torad(E142)))/(1+$I$4*SIN(torad(E142)))),$I$4/2)</f>
        <v>0.48435877441015435</v>
      </c>
      <c r="N142" s="10">
        <f aca="true" t="shared" si="51" ref="N142:N148">H142/(L142*POWER(J142,L142))</f>
        <v>1.9511539097101287</v>
      </c>
      <c r="O142" s="2">
        <f aca="true" t="shared" si="52" ref="O142:O148">$I$2*N142*POWER(M142,L142)</f>
        <v>7837787.797372023</v>
      </c>
      <c r="P142" s="15">
        <f t="shared" si="39"/>
        <v>39.62595590617391</v>
      </c>
      <c r="Q142" s="15">
        <f t="shared" si="32"/>
        <v>0.47230166356355163</v>
      </c>
      <c r="R142" s="2">
        <f t="shared" si="33"/>
        <v>7712787.325458078</v>
      </c>
      <c r="S142" s="2">
        <f t="shared" si="34"/>
        <v>125000.47191394493</v>
      </c>
      <c r="T142" t="s">
        <v>3</v>
      </c>
      <c r="U142">
        <f t="shared" si="35"/>
        <v>6386838.508756695</v>
      </c>
      <c r="V142">
        <f t="shared" si="36"/>
        <v>6361404.482776777</v>
      </c>
      <c r="W142">
        <f t="shared" si="37"/>
        <v>6374108.809894619</v>
      </c>
      <c r="X142" s="19">
        <f t="shared" si="38"/>
        <v>2.538416699668785E-09</v>
      </c>
      <c r="Y142" s="19" t="str">
        <f t="shared" si="40"/>
        <v>North</v>
      </c>
      <c r="Z142">
        <f t="shared" si="41"/>
        <v>0.9999407413876262</v>
      </c>
      <c r="AA142">
        <f t="shared" si="42"/>
        <v>6373731.0890514245</v>
      </c>
      <c r="AB142" s="2">
        <f t="shared" si="43"/>
        <v>125000.47191394493</v>
      </c>
      <c r="AC142">
        <f t="shared" si="44"/>
        <v>39.37334412617626</v>
      </c>
      <c r="AD142">
        <f t="shared" si="45"/>
        <v>0.8280352827166677</v>
      </c>
      <c r="AE142">
        <f t="shared" si="46"/>
        <v>1.2307859544451779E-14</v>
      </c>
      <c r="AF142">
        <f t="shared" si="47"/>
        <v>5.329867134931115E-22</v>
      </c>
      <c r="AG142" s="26">
        <f aca="true" t="shared" si="53" ref="AG142:AG148">1/(6*AA142^2)*206265</f>
        <v>8.46226882978782E-10</v>
      </c>
    </row>
    <row r="143" spans="1:33" ht="12.75">
      <c r="A143" t="s">
        <v>4</v>
      </c>
      <c r="B143" s="2">
        <v>37.29</v>
      </c>
      <c r="C143" s="2">
        <v>38.53</v>
      </c>
      <c r="D143" s="2">
        <v>81</v>
      </c>
      <c r="E143" s="2">
        <v>37</v>
      </c>
      <c r="F143" s="2">
        <v>600000</v>
      </c>
      <c r="G143" s="2">
        <v>0</v>
      </c>
      <c r="H143">
        <f t="shared" si="48"/>
        <v>0.7945157989417077</v>
      </c>
      <c r="I143">
        <f t="shared" si="48"/>
        <v>0.7794545398891974</v>
      </c>
      <c r="J143">
        <f>TAN(PI()/4-torad(B143)/2)/POWER(((1-$I$4*SIN(torad(B143)))/(1+$I$4*SIN(torad(B143)))),$I$4/2)</f>
        <v>0.4953417039025477</v>
      </c>
      <c r="K143">
        <f>TAN(PI()/4-torad(C143)/2)/POWER(((1-$I$4*SIN(torad(C143)))/(1+$I$4*SIN(torad(C143)))),$I$4/2)</f>
        <v>0.48024153308158146</v>
      </c>
      <c r="L143" s="10">
        <f t="shared" si="49"/>
        <v>0.6181954075331347</v>
      </c>
      <c r="M143" s="10">
        <f t="shared" si="50"/>
        <v>0.5005959673108731</v>
      </c>
      <c r="N143" s="10">
        <f t="shared" si="51"/>
        <v>1.984198681422245</v>
      </c>
      <c r="O143" s="2">
        <f t="shared" si="52"/>
        <v>8250940.551520179</v>
      </c>
      <c r="P143" s="15">
        <f t="shared" si="39"/>
        <v>38.184472996775746</v>
      </c>
      <c r="Q143" s="15">
        <f t="shared" si="32"/>
        <v>0.48775746705063383</v>
      </c>
      <c r="R143" s="2">
        <f t="shared" si="33"/>
        <v>8119477.816264196</v>
      </c>
      <c r="S143" s="2">
        <f t="shared" si="34"/>
        <v>131462.73525598273</v>
      </c>
      <c r="T143" t="s">
        <v>4</v>
      </c>
      <c r="U143">
        <f t="shared" si="35"/>
        <v>6386311.479965425</v>
      </c>
      <c r="V143">
        <f t="shared" si="36"/>
        <v>6359829.822638533</v>
      </c>
      <c r="W143">
        <f t="shared" si="37"/>
        <v>6373056.896571922</v>
      </c>
      <c r="X143" s="19">
        <f t="shared" si="38"/>
        <v>2.5392547322658575E-09</v>
      </c>
      <c r="Y143" s="19" t="str">
        <f t="shared" si="40"/>
        <v>South</v>
      </c>
      <c r="Z143">
        <f t="shared" si="41"/>
        <v>0.9999256783593868</v>
      </c>
      <c r="AA143">
        <f t="shared" si="42"/>
        <v>6372583.240527648</v>
      </c>
      <c r="AB143" s="2">
        <f t="shared" si="43"/>
        <v>131462.73525598273</v>
      </c>
      <c r="AC143">
        <f t="shared" si="44"/>
        <v>38.1104102787946</v>
      </c>
      <c r="AD143">
        <f t="shared" si="45"/>
        <v>0.7864836856906292</v>
      </c>
      <c r="AE143">
        <f t="shared" si="46"/>
        <v>1.2312293799831255E-14</v>
      </c>
      <c r="AF143">
        <f t="shared" si="47"/>
        <v>5.0651454004887895E-22</v>
      </c>
      <c r="AG143" s="26">
        <f t="shared" si="53"/>
        <v>8.465317602073978E-10</v>
      </c>
    </row>
    <row r="144" spans="24:33" ht="12.75">
      <c r="X144" s="19"/>
      <c r="Y144" s="19"/>
      <c r="AB144" s="2"/>
      <c r="AG144" s="26"/>
    </row>
    <row r="145" spans="1:33" ht="12.75">
      <c r="A145" s="1" t="s">
        <v>55</v>
      </c>
      <c r="T145" s="1" t="s">
        <v>55</v>
      </c>
      <c r="X145" s="19"/>
      <c r="Y145" s="19" t="str">
        <f t="shared" si="40"/>
        <v>Wisconsin</v>
      </c>
      <c r="AB145" s="2"/>
      <c r="AG145" s="26"/>
    </row>
    <row r="146" spans="1:33" ht="12.75">
      <c r="A146" t="s">
        <v>3</v>
      </c>
      <c r="B146" s="2">
        <v>45.34</v>
      </c>
      <c r="C146" s="2">
        <v>46.46</v>
      </c>
      <c r="D146" s="2">
        <v>90</v>
      </c>
      <c r="E146" s="2">
        <v>45.1</v>
      </c>
      <c r="F146" s="2">
        <v>600000</v>
      </c>
      <c r="G146" s="2">
        <v>0</v>
      </c>
      <c r="H146">
        <f t="shared" si="48"/>
        <v>0.7012767758877829</v>
      </c>
      <c r="I146">
        <f t="shared" si="48"/>
        <v>0.6861913538751482</v>
      </c>
      <c r="J146">
        <f aca="true" t="shared" si="54" ref="J146:K148">TAN(PI()/4-torad(B146)/2)/POWER(((1-$I$4*SIN(torad(B146)))/(1+$I$4*SIN(torad(B146)))),$I$4/2)</f>
        <v>0.4103911209304777</v>
      </c>
      <c r="K146">
        <f t="shared" si="54"/>
        <v>0.3982042731630945</v>
      </c>
      <c r="L146" s="10">
        <f t="shared" si="49"/>
        <v>0.7213707885725064</v>
      </c>
      <c r="M146" s="10">
        <f t="shared" si="50"/>
        <v>0.4144758215030909</v>
      </c>
      <c r="N146" s="10">
        <f t="shared" si="51"/>
        <v>1.84824100093075</v>
      </c>
      <c r="O146" s="2">
        <f t="shared" si="52"/>
        <v>6244929.5125018</v>
      </c>
      <c r="P146" s="15">
        <f t="shared" si="39"/>
        <v>46.16777155204772</v>
      </c>
      <c r="Q146" s="15">
        <f t="shared" si="32"/>
        <v>0.40427400226768684</v>
      </c>
      <c r="R146" s="2">
        <f t="shared" si="33"/>
        <v>6133662.358155684</v>
      </c>
      <c r="S146" s="2">
        <f t="shared" si="34"/>
        <v>111267.15434611682</v>
      </c>
      <c r="T146" t="s">
        <v>3</v>
      </c>
      <c r="U146">
        <f t="shared" si="35"/>
        <v>6389275.530362499</v>
      </c>
      <c r="V146">
        <f t="shared" si="36"/>
        <v>6368689.211984642</v>
      </c>
      <c r="W146">
        <f t="shared" si="37"/>
        <v>6378974.0666205175</v>
      </c>
      <c r="X146" s="19">
        <f t="shared" si="38"/>
        <v>2.534546064959088E-09</v>
      </c>
      <c r="Y146" s="19" t="str">
        <f t="shared" si="40"/>
        <v>North</v>
      </c>
      <c r="Z146">
        <f t="shared" si="41"/>
        <v>0.9999453453167018</v>
      </c>
      <c r="AA146">
        <f t="shared" si="42"/>
        <v>6378625.4258131385</v>
      </c>
      <c r="AB146" s="2">
        <f t="shared" si="43"/>
        <v>111267.15434611682</v>
      </c>
      <c r="AC146">
        <f t="shared" si="44"/>
        <v>46.10039775868318</v>
      </c>
      <c r="AD146">
        <f t="shared" si="45"/>
        <v>1.0416168927258904</v>
      </c>
      <c r="AE146">
        <f t="shared" si="46"/>
        <v>1.2288979082062185E-14</v>
      </c>
      <c r="AF146">
        <f t="shared" si="47"/>
        <v>6.689219777890365E-22</v>
      </c>
      <c r="AG146" s="26">
        <f t="shared" si="53"/>
        <v>8.449287567871856E-10</v>
      </c>
    </row>
    <row r="147" spans="1:33" ht="12.75">
      <c r="A147" t="s">
        <v>19</v>
      </c>
      <c r="B147" s="2">
        <v>44.15</v>
      </c>
      <c r="C147" s="2">
        <v>45.3</v>
      </c>
      <c r="D147" s="2">
        <v>90</v>
      </c>
      <c r="E147" s="2">
        <v>43.5</v>
      </c>
      <c r="F147" s="2">
        <v>600000</v>
      </c>
      <c r="G147" s="2">
        <v>0</v>
      </c>
      <c r="H147">
        <f t="shared" si="48"/>
        <v>0.7174722238327671</v>
      </c>
      <c r="I147">
        <f t="shared" si="48"/>
        <v>0.7021058322623374</v>
      </c>
      <c r="J147">
        <f t="shared" si="54"/>
        <v>0.4238800318302959</v>
      </c>
      <c r="K147">
        <f t="shared" si="54"/>
        <v>0.41107111527773954</v>
      </c>
      <c r="L147" s="10">
        <f t="shared" si="49"/>
        <v>0.7055766144104186</v>
      </c>
      <c r="M147" s="10">
        <f t="shared" si="50"/>
        <v>0.42817504222640174</v>
      </c>
      <c r="N147" s="10">
        <f t="shared" si="51"/>
        <v>1.8632432897818914</v>
      </c>
      <c r="O147" s="2">
        <f t="shared" si="52"/>
        <v>6531967.994609557</v>
      </c>
      <c r="P147" s="15">
        <f t="shared" si="39"/>
        <v>44.87614669676177</v>
      </c>
      <c r="Q147" s="15">
        <f t="shared" si="32"/>
        <v>0.4174497106389871</v>
      </c>
      <c r="R147" s="2">
        <f t="shared" si="33"/>
        <v>6416091.9624629</v>
      </c>
      <c r="S147" s="2">
        <f t="shared" si="34"/>
        <v>115876.03214665689</v>
      </c>
      <c r="T147" t="s">
        <v>19</v>
      </c>
      <c r="U147">
        <f t="shared" si="35"/>
        <v>6388791.911544136</v>
      </c>
      <c r="V147">
        <f t="shared" si="36"/>
        <v>6367243.139667572</v>
      </c>
      <c r="W147">
        <f t="shared" si="37"/>
        <v>6378008.425013492</v>
      </c>
      <c r="X147" s="19">
        <f t="shared" si="38"/>
        <v>2.5353135924526994E-09</v>
      </c>
      <c r="Y147" s="19" t="str">
        <f t="shared" si="40"/>
        <v>Central</v>
      </c>
      <c r="Z147">
        <f t="shared" si="41"/>
        <v>0.9999407049021407</v>
      </c>
      <c r="AA147">
        <f t="shared" si="42"/>
        <v>6377630.240379783</v>
      </c>
      <c r="AB147" s="2">
        <f t="shared" si="43"/>
        <v>115876.03214665689</v>
      </c>
      <c r="AC147">
        <f t="shared" si="44"/>
        <v>44.52341281078175</v>
      </c>
      <c r="AD147">
        <f t="shared" si="45"/>
        <v>0.9956860227187676</v>
      </c>
      <c r="AE147">
        <f t="shared" si="46"/>
        <v>1.2292814603000677E-14</v>
      </c>
      <c r="AF147">
        <f t="shared" si="47"/>
        <v>6.397247472154098E-22</v>
      </c>
      <c r="AG147" s="26">
        <f t="shared" si="53"/>
        <v>8.451924680293115E-10</v>
      </c>
    </row>
    <row r="148" spans="1:33" ht="12.75">
      <c r="A148" t="s">
        <v>4</v>
      </c>
      <c r="B148" s="2">
        <v>42.44</v>
      </c>
      <c r="C148" s="2">
        <v>44.04</v>
      </c>
      <c r="D148" s="2">
        <v>90</v>
      </c>
      <c r="E148" s="2">
        <v>42</v>
      </c>
      <c r="F148" s="2">
        <v>600000</v>
      </c>
      <c r="G148" s="2">
        <v>0</v>
      </c>
      <c r="H148">
        <f t="shared" si="48"/>
        <v>0.7356546849531734</v>
      </c>
      <c r="I148">
        <f t="shared" si="48"/>
        <v>0.719697234184235</v>
      </c>
      <c r="J148">
        <f t="shared" si="54"/>
        <v>0.4395766467416939</v>
      </c>
      <c r="K148">
        <f t="shared" si="54"/>
        <v>0.42576824948209596</v>
      </c>
      <c r="L148" s="10">
        <f t="shared" si="49"/>
        <v>0.6871032355682658</v>
      </c>
      <c r="M148" s="10">
        <f t="shared" si="50"/>
        <v>0.4472295281558266</v>
      </c>
      <c r="N148" s="10">
        <f t="shared" si="51"/>
        <v>1.8833198537453564</v>
      </c>
      <c r="O148" s="2">
        <f t="shared" si="52"/>
        <v>6910290.156544619</v>
      </c>
      <c r="P148" s="15">
        <f t="shared" si="39"/>
        <v>43.40124002646651</v>
      </c>
      <c r="Q148" s="15">
        <f t="shared" si="32"/>
        <v>0.43264277277362895</v>
      </c>
      <c r="R148" s="2">
        <f t="shared" si="33"/>
        <v>6754625.857834813</v>
      </c>
      <c r="S148" s="2">
        <f t="shared" si="34"/>
        <v>155664.29870980605</v>
      </c>
      <c r="T148" t="s">
        <v>4</v>
      </c>
      <c r="U148">
        <f t="shared" si="35"/>
        <v>6388239.973488165</v>
      </c>
      <c r="V148">
        <f t="shared" si="36"/>
        <v>6365593.052961187</v>
      </c>
      <c r="W148">
        <f t="shared" si="37"/>
        <v>6376906.459709537</v>
      </c>
      <c r="X148" s="19">
        <f t="shared" si="38"/>
        <v>2.5361899010596218E-09</v>
      </c>
      <c r="Y148" s="19" t="str">
        <f t="shared" si="40"/>
        <v>South</v>
      </c>
      <c r="Z148">
        <f t="shared" si="41"/>
        <v>0.9999325470787715</v>
      </c>
      <c r="AA148">
        <f t="shared" si="42"/>
        <v>6376476.318740429</v>
      </c>
      <c r="AB148" s="2">
        <f t="shared" si="43"/>
        <v>155664.29870980605</v>
      </c>
      <c r="AC148">
        <f t="shared" si="44"/>
        <v>43.24044640947718</v>
      </c>
      <c r="AD148">
        <f t="shared" si="45"/>
        <v>0.9456939884584592</v>
      </c>
      <c r="AE148">
        <f t="shared" si="46"/>
        <v>1.2297264153994675E-14</v>
      </c>
      <c r="AF148">
        <f t="shared" si="47"/>
        <v>6.079349682383658E-22</v>
      </c>
      <c r="AG148" s="26">
        <f t="shared" si="53"/>
        <v>8.454983969079039E-10</v>
      </c>
    </row>
  </sheetData>
  <mergeCells count="6">
    <mergeCell ref="D112:E112"/>
    <mergeCell ref="B113:C113"/>
    <mergeCell ref="D8:E8"/>
    <mergeCell ref="B9:C9"/>
    <mergeCell ref="D57:E57"/>
    <mergeCell ref="B58:C58"/>
  </mergeCells>
  <printOptions/>
  <pageMargins left="0.75" right="0.75" top="1" bottom="1" header="0.5" footer="0.5"/>
  <pageSetup fitToHeight="3" orientation="landscape" paperSize="9" scale="65"/>
  <rowBreaks count="1" manualBreakCount="1">
    <brk id="56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111"/>
  <sheetViews>
    <sheetView workbookViewId="0" topLeftCell="A1">
      <selection activeCell="A1" sqref="A1"/>
    </sheetView>
  </sheetViews>
  <sheetFormatPr defaultColWidth="11.00390625" defaultRowHeight="12.75"/>
  <cols>
    <col min="1" max="1" width="14.00390625" style="0" customWidth="1"/>
    <col min="2" max="2" width="15.125" style="2" customWidth="1"/>
    <col min="3" max="3" width="13.75390625" style="2" customWidth="1"/>
    <col min="4" max="4" width="10.75390625" style="10" customWidth="1"/>
    <col min="5" max="5" width="12.625" style="0" customWidth="1"/>
    <col min="6" max="6" width="11.625" style="0" customWidth="1"/>
    <col min="7" max="7" width="14.75390625" style="0" customWidth="1"/>
  </cols>
  <sheetData>
    <row r="1" spans="5:6" ht="12.75">
      <c r="E1" s="2"/>
      <c r="F1" s="4" t="s">
        <v>57</v>
      </c>
    </row>
    <row r="2" spans="5:8" ht="12.75">
      <c r="E2" s="2"/>
      <c r="F2">
        <v>6378206.4</v>
      </c>
      <c r="G2" t="s">
        <v>74</v>
      </c>
      <c r="H2">
        <f>'1927 Lambert SPCS'!L2</f>
        <v>20925832.164</v>
      </c>
    </row>
    <row r="3" spans="5:7" ht="15">
      <c r="E3" s="2"/>
      <c r="F3">
        <v>0.00676866</v>
      </c>
      <c r="G3" t="s">
        <v>59</v>
      </c>
    </row>
    <row r="4" spans="5:7" ht="12.75">
      <c r="E4" s="2"/>
      <c r="F4">
        <v>0.0822719</v>
      </c>
      <c r="G4" t="s">
        <v>60</v>
      </c>
    </row>
    <row r="5" spans="1:7" ht="15">
      <c r="A5" s="5" t="s">
        <v>78</v>
      </c>
      <c r="E5" s="2"/>
      <c r="F5" s="2"/>
      <c r="G5" s="2"/>
    </row>
    <row r="6" spans="5:7" ht="12.75">
      <c r="E6" s="2"/>
      <c r="F6" s="2"/>
      <c r="G6" s="2"/>
    </row>
    <row r="7" spans="2:7" s="8" customFormat="1" ht="12.75">
      <c r="B7" s="6" t="s">
        <v>82</v>
      </c>
      <c r="C7" s="6" t="s">
        <v>83</v>
      </c>
      <c r="D7" s="11" t="s">
        <v>86</v>
      </c>
      <c r="E7" s="8" t="s">
        <v>69</v>
      </c>
      <c r="F7" s="8" t="s">
        <v>68</v>
      </c>
      <c r="G7" s="8" t="s">
        <v>84</v>
      </c>
    </row>
    <row r="8" spans="2:7" ht="15">
      <c r="B8" s="13" t="s">
        <v>85</v>
      </c>
      <c r="D8" s="12" t="s">
        <v>87</v>
      </c>
      <c r="E8" s="4" t="s">
        <v>93</v>
      </c>
      <c r="F8" s="4" t="s">
        <v>93</v>
      </c>
      <c r="G8" s="14" t="s">
        <v>92</v>
      </c>
    </row>
    <row r="9" ht="12.75">
      <c r="G9" s="4"/>
    </row>
    <row r="10" spans="1:8" ht="12.75">
      <c r="A10" s="1" t="s">
        <v>88</v>
      </c>
      <c r="H10" s="1" t="s">
        <v>88</v>
      </c>
    </row>
    <row r="11" spans="1:8" ht="12.75">
      <c r="A11" t="s">
        <v>89</v>
      </c>
      <c r="B11" s="25">
        <v>85.5</v>
      </c>
      <c r="C11" s="25">
        <v>30.3</v>
      </c>
      <c r="D11" s="10">
        <f>1-1/G11</f>
        <v>0.99996</v>
      </c>
      <c r="E11" s="2">
        <v>500000</v>
      </c>
      <c r="F11" s="2">
        <v>0</v>
      </c>
      <c r="G11">
        <v>25000</v>
      </c>
      <c r="H11" t="s">
        <v>89</v>
      </c>
    </row>
    <row r="12" spans="1:8" ht="12.75">
      <c r="A12" t="s">
        <v>17</v>
      </c>
      <c r="B12" s="25">
        <v>87.3</v>
      </c>
      <c r="C12" s="25">
        <v>30</v>
      </c>
      <c r="D12" s="10">
        <f aca="true" t="shared" si="0" ref="D12:D75">1-1/G12</f>
        <v>0.9999333333333333</v>
      </c>
      <c r="E12" s="2">
        <v>500000</v>
      </c>
      <c r="F12" s="2">
        <v>0</v>
      </c>
      <c r="G12">
        <v>15000</v>
      </c>
      <c r="H12" t="s">
        <v>17</v>
      </c>
    </row>
    <row r="13" spans="2:6" ht="12.75">
      <c r="B13" s="25"/>
      <c r="C13" s="25"/>
      <c r="E13" s="2"/>
      <c r="F13" s="2"/>
    </row>
    <row r="14" spans="1:8" ht="12.75">
      <c r="A14" s="1" t="s">
        <v>0</v>
      </c>
      <c r="B14" s="25"/>
      <c r="C14" s="25"/>
      <c r="E14" s="2"/>
      <c r="F14" s="2"/>
      <c r="H14" s="1" t="s">
        <v>0</v>
      </c>
    </row>
    <row r="15" spans="1:8" ht="12.75">
      <c r="A15" s="3">
        <v>2</v>
      </c>
      <c r="B15" s="25">
        <v>142</v>
      </c>
      <c r="C15" s="25">
        <v>54</v>
      </c>
      <c r="D15" s="10">
        <f t="shared" si="0"/>
        <v>0.9999</v>
      </c>
      <c r="E15" s="2">
        <v>500000</v>
      </c>
      <c r="F15" s="2">
        <v>0</v>
      </c>
      <c r="G15">
        <v>10000</v>
      </c>
      <c r="H15" s="3">
        <v>2</v>
      </c>
    </row>
    <row r="16" spans="1:8" ht="12.75">
      <c r="A16" s="3">
        <v>3</v>
      </c>
      <c r="B16" s="25">
        <v>146</v>
      </c>
      <c r="C16" s="25">
        <v>54</v>
      </c>
      <c r="D16" s="10">
        <f t="shared" si="0"/>
        <v>0.9999</v>
      </c>
      <c r="E16" s="2">
        <v>500000</v>
      </c>
      <c r="F16" s="2">
        <v>0</v>
      </c>
      <c r="G16">
        <v>10000</v>
      </c>
      <c r="H16" s="3">
        <v>3</v>
      </c>
    </row>
    <row r="17" spans="1:8" ht="12.75">
      <c r="A17" s="3">
        <v>4</v>
      </c>
      <c r="B17" s="25">
        <v>150</v>
      </c>
      <c r="C17" s="25">
        <v>54</v>
      </c>
      <c r="D17" s="10">
        <f t="shared" si="0"/>
        <v>0.9999</v>
      </c>
      <c r="E17" s="2">
        <v>500000</v>
      </c>
      <c r="F17" s="2">
        <v>0</v>
      </c>
      <c r="G17">
        <v>10000</v>
      </c>
      <c r="H17" s="3">
        <v>4</v>
      </c>
    </row>
    <row r="18" spans="1:8" ht="12.75">
      <c r="A18" s="3">
        <v>5</v>
      </c>
      <c r="B18" s="25">
        <v>154</v>
      </c>
      <c r="C18" s="25">
        <v>54</v>
      </c>
      <c r="D18" s="10">
        <f t="shared" si="0"/>
        <v>0.9999</v>
      </c>
      <c r="E18" s="2">
        <v>500000</v>
      </c>
      <c r="F18" s="2">
        <v>0</v>
      </c>
      <c r="G18">
        <v>10000</v>
      </c>
      <c r="H18" s="3">
        <v>5</v>
      </c>
    </row>
    <row r="19" spans="1:8" ht="12.75">
      <c r="A19" s="3">
        <v>6</v>
      </c>
      <c r="B19" s="25">
        <v>185</v>
      </c>
      <c r="C19" s="25">
        <v>54</v>
      </c>
      <c r="D19" s="10">
        <f t="shared" si="0"/>
        <v>0.9999</v>
      </c>
      <c r="E19" s="2">
        <v>500000</v>
      </c>
      <c r="F19" s="2">
        <v>0</v>
      </c>
      <c r="G19">
        <v>10000</v>
      </c>
      <c r="H19" s="3">
        <v>6</v>
      </c>
    </row>
    <row r="20" spans="1:8" ht="12.75">
      <c r="A20" s="3">
        <v>7</v>
      </c>
      <c r="B20" s="25">
        <v>162</v>
      </c>
      <c r="C20" s="25">
        <v>54</v>
      </c>
      <c r="D20" s="10">
        <f t="shared" si="0"/>
        <v>0.9999</v>
      </c>
      <c r="E20" s="2">
        <v>700000</v>
      </c>
      <c r="F20" s="2">
        <v>0</v>
      </c>
      <c r="G20">
        <v>10000</v>
      </c>
      <c r="H20" s="3">
        <v>7</v>
      </c>
    </row>
    <row r="21" spans="1:8" ht="12.75">
      <c r="A21" s="3">
        <v>8</v>
      </c>
      <c r="B21" s="25">
        <v>166</v>
      </c>
      <c r="C21" s="25">
        <v>54</v>
      </c>
      <c r="D21" s="10">
        <f t="shared" si="0"/>
        <v>0.9999</v>
      </c>
      <c r="E21" s="2">
        <v>500000</v>
      </c>
      <c r="F21" s="2">
        <v>0</v>
      </c>
      <c r="G21">
        <v>10000</v>
      </c>
      <c r="H21" s="3">
        <v>8</v>
      </c>
    </row>
    <row r="22" spans="1:8" ht="12.75">
      <c r="A22" s="3">
        <v>9</v>
      </c>
      <c r="B22" s="25">
        <v>170</v>
      </c>
      <c r="C22" s="25">
        <v>54</v>
      </c>
      <c r="D22" s="10">
        <f t="shared" si="0"/>
        <v>0.9999</v>
      </c>
      <c r="E22" s="2">
        <v>600000</v>
      </c>
      <c r="F22" s="2">
        <v>0</v>
      </c>
      <c r="G22">
        <v>10000</v>
      </c>
      <c r="H22" s="3">
        <v>9</v>
      </c>
    </row>
    <row r="23" spans="2:6" ht="12.75">
      <c r="B23" s="25"/>
      <c r="C23" s="25"/>
      <c r="E23" s="2"/>
      <c r="F23" s="2"/>
    </row>
    <row r="24" spans="1:8" ht="12.75">
      <c r="A24" s="1" t="s">
        <v>90</v>
      </c>
      <c r="B24" s="25"/>
      <c r="C24" s="25"/>
      <c r="E24" s="2"/>
      <c r="F24" s="2"/>
      <c r="H24" s="1" t="s">
        <v>90</v>
      </c>
    </row>
    <row r="25" spans="1:8" ht="12.75">
      <c r="A25" t="s">
        <v>89</v>
      </c>
      <c r="B25" s="25">
        <v>110.1</v>
      </c>
      <c r="C25" s="25">
        <v>31</v>
      </c>
      <c r="D25" s="10">
        <f t="shared" si="0"/>
        <v>0.9999</v>
      </c>
      <c r="E25" s="2">
        <v>500000</v>
      </c>
      <c r="F25" s="2">
        <v>0</v>
      </c>
      <c r="G25">
        <v>10000</v>
      </c>
      <c r="H25" t="s">
        <v>89</v>
      </c>
    </row>
    <row r="26" spans="1:8" ht="12.75">
      <c r="A26" t="s">
        <v>19</v>
      </c>
      <c r="B26" s="25">
        <v>111.55</v>
      </c>
      <c r="C26" s="25">
        <v>31</v>
      </c>
      <c r="D26" s="10">
        <f t="shared" si="0"/>
        <v>0.9999</v>
      </c>
      <c r="E26" s="2">
        <v>500000</v>
      </c>
      <c r="F26" s="2">
        <v>0</v>
      </c>
      <c r="G26">
        <v>10000</v>
      </c>
      <c r="H26" t="s">
        <v>19</v>
      </c>
    </row>
    <row r="27" spans="1:8" ht="12.75">
      <c r="A27" t="s">
        <v>17</v>
      </c>
      <c r="B27" s="25">
        <v>113.45</v>
      </c>
      <c r="C27" s="25">
        <v>31</v>
      </c>
      <c r="D27" s="10">
        <f t="shared" si="0"/>
        <v>0.9999333333333333</v>
      </c>
      <c r="E27" s="2">
        <v>500000</v>
      </c>
      <c r="F27" s="2">
        <v>0</v>
      </c>
      <c r="G27">
        <v>15000</v>
      </c>
      <c r="H27" t="s">
        <v>17</v>
      </c>
    </row>
    <row r="28" spans="2:6" ht="12.75">
      <c r="B28" s="25"/>
      <c r="C28" s="25"/>
      <c r="E28" s="2"/>
      <c r="F28" s="2"/>
    </row>
    <row r="29" spans="1:8" ht="12.75">
      <c r="A29" s="1" t="s">
        <v>91</v>
      </c>
      <c r="B29" s="25">
        <v>72.25</v>
      </c>
      <c r="C29" s="25">
        <v>38</v>
      </c>
      <c r="D29" s="10">
        <f t="shared" si="0"/>
        <v>0.999995</v>
      </c>
      <c r="E29" s="2">
        <v>500000</v>
      </c>
      <c r="F29" s="2">
        <v>0</v>
      </c>
      <c r="G29">
        <v>200000</v>
      </c>
      <c r="H29" s="1" t="s">
        <v>91</v>
      </c>
    </row>
    <row r="30" spans="2:6" ht="12.75">
      <c r="B30" s="25"/>
      <c r="C30" s="25"/>
      <c r="E30" s="2"/>
      <c r="F30" s="2"/>
    </row>
    <row r="31" spans="1:8" ht="12.75">
      <c r="A31" s="1" t="s">
        <v>21</v>
      </c>
      <c r="B31" s="25"/>
      <c r="C31" s="25"/>
      <c r="E31" s="2"/>
      <c r="F31" s="2"/>
      <c r="H31" s="1" t="s">
        <v>21</v>
      </c>
    </row>
    <row r="32" spans="1:8" ht="12.75">
      <c r="A32" t="s">
        <v>89</v>
      </c>
      <c r="B32" s="25">
        <v>81</v>
      </c>
      <c r="C32" s="25">
        <v>24.2</v>
      </c>
      <c r="D32" s="10">
        <f t="shared" si="0"/>
        <v>0.9999411764705882</v>
      </c>
      <c r="E32" s="2">
        <v>500000</v>
      </c>
      <c r="F32" s="2">
        <v>0</v>
      </c>
      <c r="G32">
        <v>17000</v>
      </c>
      <c r="H32" t="s">
        <v>89</v>
      </c>
    </row>
    <row r="33" spans="1:8" ht="12.75">
      <c r="A33" t="s">
        <v>17</v>
      </c>
      <c r="B33" s="25">
        <v>82</v>
      </c>
      <c r="C33" s="25">
        <v>24.2</v>
      </c>
      <c r="D33" s="10">
        <f t="shared" si="0"/>
        <v>0.9999411764705882</v>
      </c>
      <c r="E33" s="2">
        <v>500000</v>
      </c>
      <c r="F33" s="2">
        <v>0</v>
      </c>
      <c r="G33">
        <v>17000</v>
      </c>
      <c r="H33" t="s">
        <v>17</v>
      </c>
    </row>
    <row r="34" spans="2:6" ht="12.75">
      <c r="B34" s="25"/>
      <c r="C34" s="25"/>
      <c r="E34" s="2"/>
      <c r="F34" s="2"/>
    </row>
    <row r="35" spans="1:8" ht="12.75">
      <c r="A35" s="1" t="s">
        <v>94</v>
      </c>
      <c r="B35" s="25"/>
      <c r="C35" s="25"/>
      <c r="E35" s="2"/>
      <c r="F35" s="2"/>
      <c r="H35" s="1" t="s">
        <v>94</v>
      </c>
    </row>
    <row r="36" spans="1:8" ht="12.75">
      <c r="A36" t="s">
        <v>89</v>
      </c>
      <c r="B36" s="25">
        <v>82.1</v>
      </c>
      <c r="C36" s="25">
        <v>30</v>
      </c>
      <c r="D36" s="10">
        <f t="shared" si="0"/>
        <v>0.9999</v>
      </c>
      <c r="E36" s="2">
        <v>500000</v>
      </c>
      <c r="F36" s="2">
        <v>0</v>
      </c>
      <c r="G36" s="2">
        <v>10000</v>
      </c>
      <c r="H36" t="s">
        <v>89</v>
      </c>
    </row>
    <row r="37" spans="1:8" ht="12.75">
      <c r="A37" t="s">
        <v>17</v>
      </c>
      <c r="B37" s="25">
        <v>84.1</v>
      </c>
      <c r="C37" s="25">
        <v>30</v>
      </c>
      <c r="D37" s="10">
        <f t="shared" si="0"/>
        <v>0.9999</v>
      </c>
      <c r="E37" s="2">
        <v>500000</v>
      </c>
      <c r="F37" s="2">
        <v>0</v>
      </c>
      <c r="G37" s="2">
        <v>10000</v>
      </c>
      <c r="H37" t="s">
        <v>17</v>
      </c>
    </row>
    <row r="38" spans="2:6" ht="12.75">
      <c r="B38" s="25"/>
      <c r="C38" s="25"/>
      <c r="E38" s="2"/>
      <c r="F38" s="2"/>
    </row>
    <row r="39" spans="1:8" ht="12.75">
      <c r="A39" s="1" t="s">
        <v>95</v>
      </c>
      <c r="B39" s="25"/>
      <c r="C39" s="25"/>
      <c r="E39" s="2"/>
      <c r="F39" s="2"/>
      <c r="H39" s="1" t="s">
        <v>95</v>
      </c>
    </row>
    <row r="40" spans="1:8" ht="12.75">
      <c r="A40" s="3">
        <v>1</v>
      </c>
      <c r="B40" s="25">
        <v>155.3</v>
      </c>
      <c r="C40" s="25">
        <v>18.5</v>
      </c>
      <c r="D40" s="10">
        <f t="shared" si="0"/>
        <v>0.9999666666666667</v>
      </c>
      <c r="E40" s="2">
        <v>500000</v>
      </c>
      <c r="F40" s="2">
        <v>0</v>
      </c>
      <c r="G40" s="2">
        <v>30000</v>
      </c>
      <c r="H40" s="3">
        <v>1</v>
      </c>
    </row>
    <row r="41" spans="1:8" ht="12.75">
      <c r="A41" s="3">
        <v>2</v>
      </c>
      <c r="B41" s="25">
        <v>156.4</v>
      </c>
      <c r="C41" s="25">
        <v>20.2</v>
      </c>
      <c r="D41" s="10">
        <f t="shared" si="0"/>
        <v>0.9999666666666667</v>
      </c>
      <c r="E41" s="2">
        <v>500000</v>
      </c>
      <c r="F41" s="2">
        <v>0</v>
      </c>
      <c r="G41" s="2">
        <v>30000</v>
      </c>
      <c r="H41" s="3">
        <v>2</v>
      </c>
    </row>
    <row r="42" spans="1:8" ht="12.75">
      <c r="A42" s="3">
        <v>3</v>
      </c>
      <c r="B42" s="25">
        <v>158</v>
      </c>
      <c r="C42" s="25">
        <v>21.1</v>
      </c>
      <c r="D42" s="10">
        <f t="shared" si="0"/>
        <v>0.99999</v>
      </c>
      <c r="E42" s="2">
        <v>500000</v>
      </c>
      <c r="F42" s="2">
        <v>0</v>
      </c>
      <c r="G42" s="2">
        <v>100000</v>
      </c>
      <c r="H42" s="3">
        <v>3</v>
      </c>
    </row>
    <row r="43" spans="1:8" ht="12.75">
      <c r="A43" s="3">
        <v>4</v>
      </c>
      <c r="B43" s="25">
        <v>159.3</v>
      </c>
      <c r="C43" s="25">
        <v>21.5</v>
      </c>
      <c r="D43" s="10">
        <f t="shared" si="0"/>
        <v>0.99999</v>
      </c>
      <c r="E43" s="2">
        <v>500000</v>
      </c>
      <c r="F43" s="2">
        <v>0</v>
      </c>
      <c r="G43" s="2">
        <v>100000</v>
      </c>
      <c r="H43" s="3">
        <v>4</v>
      </c>
    </row>
    <row r="44" spans="1:8" ht="12.75">
      <c r="A44" s="3">
        <v>5</v>
      </c>
      <c r="B44" s="25">
        <v>160.1</v>
      </c>
      <c r="C44" s="25">
        <v>21.4</v>
      </c>
      <c r="D44" s="10">
        <v>1</v>
      </c>
      <c r="E44" s="2">
        <v>500000</v>
      </c>
      <c r="F44" s="2">
        <v>0</v>
      </c>
      <c r="G44" s="2">
        <v>0</v>
      </c>
      <c r="H44" s="3">
        <v>5</v>
      </c>
    </row>
    <row r="45" spans="2:6" ht="12.75">
      <c r="B45" s="25"/>
      <c r="C45" s="25"/>
      <c r="E45" s="2"/>
      <c r="F45" s="2"/>
    </row>
    <row r="46" spans="1:8" ht="12.75">
      <c r="A46" s="1" t="s">
        <v>96</v>
      </c>
      <c r="B46" s="25"/>
      <c r="C46" s="25"/>
      <c r="E46" s="2"/>
      <c r="F46" s="2"/>
      <c r="H46" s="1" t="s">
        <v>96</v>
      </c>
    </row>
    <row r="47" spans="1:8" ht="12.75">
      <c r="A47" t="s">
        <v>89</v>
      </c>
      <c r="B47" s="25">
        <v>112.1</v>
      </c>
      <c r="C47" s="25">
        <v>41.4</v>
      </c>
      <c r="D47" s="10">
        <f t="shared" si="0"/>
        <v>0.9999473684210526</v>
      </c>
      <c r="E47" s="2">
        <v>500000</v>
      </c>
      <c r="F47" s="2">
        <v>0</v>
      </c>
      <c r="G47" s="2">
        <v>19000</v>
      </c>
      <c r="H47" t="s">
        <v>89</v>
      </c>
    </row>
    <row r="48" spans="1:8" ht="12.75">
      <c r="A48" t="s">
        <v>19</v>
      </c>
      <c r="B48" s="25">
        <v>114</v>
      </c>
      <c r="C48" s="25">
        <v>41.4</v>
      </c>
      <c r="D48" s="10">
        <f t="shared" si="0"/>
        <v>0.9999473684210526</v>
      </c>
      <c r="E48" s="2">
        <v>500000</v>
      </c>
      <c r="F48" s="2">
        <v>0</v>
      </c>
      <c r="G48" s="2">
        <v>19000</v>
      </c>
      <c r="H48" t="s">
        <v>19</v>
      </c>
    </row>
    <row r="49" spans="1:8" ht="12.75">
      <c r="A49" t="s">
        <v>17</v>
      </c>
      <c r="B49" s="25">
        <v>115.45</v>
      </c>
      <c r="C49" s="25">
        <v>41.4</v>
      </c>
      <c r="D49" s="10">
        <f t="shared" si="0"/>
        <v>0.9999333333333333</v>
      </c>
      <c r="E49" s="2">
        <v>500000</v>
      </c>
      <c r="F49" s="2">
        <v>0</v>
      </c>
      <c r="G49" s="2">
        <v>15000</v>
      </c>
      <c r="H49" t="s">
        <v>17</v>
      </c>
    </row>
    <row r="50" spans="2:6" ht="12.75">
      <c r="B50" s="25"/>
      <c r="C50" s="25"/>
      <c r="E50" s="2"/>
      <c r="F50" s="2"/>
    </row>
    <row r="51" spans="1:8" ht="12.75">
      <c r="A51" s="1" t="s">
        <v>97</v>
      </c>
      <c r="B51" s="25"/>
      <c r="C51" s="25"/>
      <c r="E51" s="2"/>
      <c r="F51" s="2"/>
      <c r="H51" s="1" t="s">
        <v>97</v>
      </c>
    </row>
    <row r="52" spans="1:8" ht="12.75">
      <c r="A52" t="s">
        <v>89</v>
      </c>
      <c r="B52" s="25">
        <v>88.2</v>
      </c>
      <c r="C52" s="25">
        <v>36.4</v>
      </c>
      <c r="D52" s="10">
        <f t="shared" si="0"/>
        <v>0.999975</v>
      </c>
      <c r="E52" s="2">
        <v>500000</v>
      </c>
      <c r="F52" s="2">
        <v>0</v>
      </c>
      <c r="G52" s="2">
        <v>40000</v>
      </c>
      <c r="H52" t="s">
        <v>89</v>
      </c>
    </row>
    <row r="53" spans="1:8" ht="12.75">
      <c r="A53" t="s">
        <v>17</v>
      </c>
      <c r="B53" s="25">
        <v>90.1</v>
      </c>
      <c r="C53" s="25">
        <v>36.4</v>
      </c>
      <c r="D53" s="10">
        <f t="shared" si="0"/>
        <v>0.9999411764705882</v>
      </c>
      <c r="E53" s="2">
        <v>500000</v>
      </c>
      <c r="F53" s="2">
        <v>0</v>
      </c>
      <c r="G53" s="2">
        <v>17000</v>
      </c>
      <c r="H53" t="s">
        <v>17</v>
      </c>
    </row>
    <row r="54" spans="2:6" ht="12.75">
      <c r="B54" s="25"/>
      <c r="C54" s="25"/>
      <c r="E54" s="2"/>
      <c r="F54" s="2"/>
    </row>
    <row r="55" spans="1:8" ht="12.75">
      <c r="A55" s="1" t="s">
        <v>98</v>
      </c>
      <c r="B55" s="25"/>
      <c r="C55" s="25"/>
      <c r="E55" s="2"/>
      <c r="F55" s="2"/>
      <c r="H55" s="1" t="s">
        <v>98</v>
      </c>
    </row>
    <row r="56" spans="1:8" ht="12.75">
      <c r="A56" t="s">
        <v>89</v>
      </c>
      <c r="B56" s="25">
        <v>85.4</v>
      </c>
      <c r="C56" s="25">
        <v>37.3</v>
      </c>
      <c r="D56" s="10">
        <f t="shared" si="0"/>
        <v>0.9999666666666667</v>
      </c>
      <c r="E56" s="2">
        <v>500000</v>
      </c>
      <c r="F56" s="2">
        <v>0</v>
      </c>
      <c r="G56" s="2">
        <v>30000</v>
      </c>
      <c r="H56" t="s">
        <v>89</v>
      </c>
    </row>
    <row r="57" spans="1:8" ht="12.75">
      <c r="A57" t="s">
        <v>17</v>
      </c>
      <c r="B57" s="25">
        <v>87.05</v>
      </c>
      <c r="C57" s="25">
        <v>37.3</v>
      </c>
      <c r="D57" s="10">
        <f t="shared" si="0"/>
        <v>0.9999666666666667</v>
      </c>
      <c r="E57" s="2">
        <v>500000</v>
      </c>
      <c r="F57" s="2">
        <v>0</v>
      </c>
      <c r="G57" s="2">
        <v>30000</v>
      </c>
      <c r="H57" t="s">
        <v>17</v>
      </c>
    </row>
    <row r="58" spans="2:6" ht="12.75">
      <c r="B58" s="25"/>
      <c r="C58" s="25"/>
      <c r="E58" s="2"/>
      <c r="F58" s="2"/>
    </row>
    <row r="59" spans="1:8" ht="12.75">
      <c r="A59" s="1" t="s">
        <v>99</v>
      </c>
      <c r="B59" s="25"/>
      <c r="C59" s="25"/>
      <c r="E59" s="2"/>
      <c r="F59" s="2"/>
      <c r="H59" s="1" t="s">
        <v>99</v>
      </c>
    </row>
    <row r="60" spans="1:8" ht="12.75">
      <c r="A60" t="s">
        <v>89</v>
      </c>
      <c r="B60" s="25">
        <v>68.3</v>
      </c>
      <c r="C60" s="25">
        <v>43.5</v>
      </c>
      <c r="D60" s="10">
        <f t="shared" si="0"/>
        <v>0.9999</v>
      </c>
      <c r="E60" s="2">
        <v>500000</v>
      </c>
      <c r="F60" s="2">
        <v>0</v>
      </c>
      <c r="G60" s="2">
        <v>10000</v>
      </c>
      <c r="H60" t="s">
        <v>89</v>
      </c>
    </row>
    <row r="61" spans="1:8" ht="12.75">
      <c r="A61" t="s">
        <v>17</v>
      </c>
      <c r="B61" s="25">
        <v>70.1</v>
      </c>
      <c r="C61" s="25">
        <v>42.5</v>
      </c>
      <c r="D61" s="10">
        <f t="shared" si="0"/>
        <v>0.9999666666666667</v>
      </c>
      <c r="E61" s="2">
        <v>500000</v>
      </c>
      <c r="F61" s="2">
        <v>0</v>
      </c>
      <c r="G61" s="2">
        <v>30000</v>
      </c>
      <c r="H61" t="s">
        <v>17</v>
      </c>
    </row>
    <row r="62" spans="2:6" ht="12.75">
      <c r="B62" s="25"/>
      <c r="C62" s="25"/>
      <c r="E62" s="2"/>
      <c r="F62" s="2"/>
    </row>
    <row r="63" spans="1:8" ht="12.75">
      <c r="A63" s="1" t="s">
        <v>103</v>
      </c>
      <c r="B63" s="25"/>
      <c r="C63" s="25"/>
      <c r="E63" s="2"/>
      <c r="F63" s="2"/>
      <c r="H63" s="1" t="s">
        <v>103</v>
      </c>
    </row>
    <row r="64" spans="1:8" ht="12.75">
      <c r="A64" t="s">
        <v>89</v>
      </c>
      <c r="B64" s="25">
        <v>83.4</v>
      </c>
      <c r="C64" s="25">
        <v>41.3</v>
      </c>
      <c r="D64" s="10">
        <f t="shared" si="0"/>
        <v>0.9999428571428571</v>
      </c>
      <c r="E64" s="2">
        <v>500000</v>
      </c>
      <c r="F64" s="2">
        <v>0</v>
      </c>
      <c r="G64" s="2">
        <v>17500</v>
      </c>
      <c r="H64" t="s">
        <v>89</v>
      </c>
    </row>
    <row r="65" spans="1:8" ht="12.75">
      <c r="A65" t="s">
        <v>19</v>
      </c>
      <c r="B65" s="25">
        <v>85.45</v>
      </c>
      <c r="C65" s="25">
        <v>41.3</v>
      </c>
      <c r="D65" s="10">
        <f t="shared" si="0"/>
        <v>0.9999090909090909</v>
      </c>
      <c r="E65" s="2">
        <v>500000</v>
      </c>
      <c r="F65" s="2">
        <v>0</v>
      </c>
      <c r="G65" s="2">
        <v>11000</v>
      </c>
      <c r="H65" t="s">
        <v>19</v>
      </c>
    </row>
    <row r="66" spans="1:8" ht="12.75">
      <c r="A66" t="s">
        <v>17</v>
      </c>
      <c r="B66" s="25">
        <v>88.45</v>
      </c>
      <c r="C66" s="25">
        <v>41.3</v>
      </c>
      <c r="D66" s="10">
        <f t="shared" si="0"/>
        <v>0.9999090909090909</v>
      </c>
      <c r="E66" s="2">
        <v>500000</v>
      </c>
      <c r="F66" s="2">
        <v>0</v>
      </c>
      <c r="G66" s="2">
        <v>11000</v>
      </c>
      <c r="H66" t="s">
        <v>17</v>
      </c>
    </row>
    <row r="67" spans="2:6" ht="12.75">
      <c r="B67" s="25"/>
      <c r="C67" s="25"/>
      <c r="E67" s="2"/>
      <c r="F67" s="2"/>
    </row>
    <row r="68" spans="1:8" ht="12.75">
      <c r="A68" s="1" t="s">
        <v>100</v>
      </c>
      <c r="B68" s="25"/>
      <c r="C68" s="25"/>
      <c r="E68" s="2"/>
      <c r="F68" s="2"/>
      <c r="H68" s="1" t="s">
        <v>100</v>
      </c>
    </row>
    <row r="69" spans="1:8" ht="12.75">
      <c r="A69" t="s">
        <v>89</v>
      </c>
      <c r="B69" s="25">
        <v>88.5</v>
      </c>
      <c r="C69" s="25">
        <v>29.4</v>
      </c>
      <c r="D69" s="10">
        <f t="shared" si="0"/>
        <v>0.99996</v>
      </c>
      <c r="E69" s="2">
        <v>500000</v>
      </c>
      <c r="F69" s="2">
        <v>0</v>
      </c>
      <c r="G69" s="2">
        <v>25000</v>
      </c>
      <c r="H69" t="s">
        <v>89</v>
      </c>
    </row>
    <row r="70" spans="1:8" ht="12.75">
      <c r="A70" t="s">
        <v>17</v>
      </c>
      <c r="B70" s="25">
        <v>90.2</v>
      </c>
      <c r="C70" s="25">
        <v>30.3</v>
      </c>
      <c r="D70" s="10">
        <f t="shared" si="0"/>
        <v>0.9999411764705882</v>
      </c>
      <c r="E70" s="2">
        <v>500000</v>
      </c>
      <c r="F70" s="2">
        <v>0</v>
      </c>
      <c r="G70" s="2">
        <v>17000</v>
      </c>
      <c r="H70" t="s">
        <v>17</v>
      </c>
    </row>
    <row r="71" spans="2:6" ht="12.75">
      <c r="B71" s="25"/>
      <c r="C71" s="25"/>
      <c r="E71" s="2"/>
      <c r="F71" s="2"/>
    </row>
    <row r="72" spans="1:8" ht="12.75">
      <c r="A72" s="1" t="s">
        <v>101</v>
      </c>
      <c r="B72" s="25"/>
      <c r="C72" s="25"/>
      <c r="E72" s="2"/>
      <c r="F72" s="2"/>
      <c r="H72" s="1" t="s">
        <v>101</v>
      </c>
    </row>
    <row r="73" spans="1:8" ht="12.75">
      <c r="A73" t="s">
        <v>89</v>
      </c>
      <c r="B73" s="25">
        <v>90.3</v>
      </c>
      <c r="C73" s="25">
        <v>35.5</v>
      </c>
      <c r="D73" s="10">
        <f t="shared" si="0"/>
        <v>0.9999333333333333</v>
      </c>
      <c r="E73" s="2">
        <v>500000</v>
      </c>
      <c r="F73" s="2">
        <v>0</v>
      </c>
      <c r="G73" s="2">
        <v>15000</v>
      </c>
      <c r="H73" t="s">
        <v>89</v>
      </c>
    </row>
    <row r="74" spans="1:8" ht="12.75">
      <c r="A74" t="s">
        <v>19</v>
      </c>
      <c r="B74" s="25">
        <v>92.3</v>
      </c>
      <c r="C74" s="25">
        <v>35.5</v>
      </c>
      <c r="D74" s="10">
        <f t="shared" si="0"/>
        <v>0.9999333333333333</v>
      </c>
      <c r="E74" s="2">
        <v>500000</v>
      </c>
      <c r="F74" s="2">
        <v>0</v>
      </c>
      <c r="G74" s="2">
        <v>15000</v>
      </c>
      <c r="H74" t="s">
        <v>19</v>
      </c>
    </row>
    <row r="75" spans="1:8" ht="12.75">
      <c r="A75" t="s">
        <v>17</v>
      </c>
      <c r="B75" s="25">
        <v>94.3</v>
      </c>
      <c r="C75" s="25">
        <v>36.1</v>
      </c>
      <c r="D75" s="10">
        <f t="shared" si="0"/>
        <v>0.9999411764705882</v>
      </c>
      <c r="E75" s="2">
        <v>500000</v>
      </c>
      <c r="F75" s="2">
        <v>0</v>
      </c>
      <c r="G75" s="2">
        <v>17000</v>
      </c>
      <c r="H75" t="s">
        <v>17</v>
      </c>
    </row>
    <row r="76" spans="2:6" ht="12.75">
      <c r="B76" s="25"/>
      <c r="C76" s="25"/>
      <c r="E76" s="2"/>
      <c r="F76" s="2"/>
    </row>
    <row r="77" spans="1:8" ht="12.75">
      <c r="A77" s="1" t="s">
        <v>102</v>
      </c>
      <c r="B77" s="25"/>
      <c r="C77" s="25"/>
      <c r="E77" s="2"/>
      <c r="F77" s="2"/>
      <c r="H77" s="1" t="s">
        <v>102</v>
      </c>
    </row>
    <row r="78" spans="1:8" ht="12.75">
      <c r="A78" t="s">
        <v>89</v>
      </c>
      <c r="B78" s="25">
        <v>115.35</v>
      </c>
      <c r="C78" s="25">
        <v>34.45</v>
      </c>
      <c r="D78" s="10">
        <f aca="true" t="shared" si="1" ref="D78:D104">1-1/G78</f>
        <v>0.9999</v>
      </c>
      <c r="E78" s="2">
        <v>500000</v>
      </c>
      <c r="F78" s="2">
        <v>0</v>
      </c>
      <c r="G78" s="2">
        <v>10000</v>
      </c>
      <c r="H78" t="s">
        <v>89</v>
      </c>
    </row>
    <row r="79" spans="1:8" ht="12.75">
      <c r="A79" t="s">
        <v>19</v>
      </c>
      <c r="B79" s="25">
        <v>116.4</v>
      </c>
      <c r="C79" s="25">
        <v>34.45</v>
      </c>
      <c r="D79" s="10">
        <f t="shared" si="1"/>
        <v>0.9999</v>
      </c>
      <c r="E79" s="2">
        <v>500000</v>
      </c>
      <c r="F79" s="2">
        <v>0</v>
      </c>
      <c r="G79" s="2">
        <v>10000</v>
      </c>
      <c r="H79" t="s">
        <v>19</v>
      </c>
    </row>
    <row r="80" spans="1:8" ht="12.75">
      <c r="A80" t="s">
        <v>17</v>
      </c>
      <c r="B80" s="25">
        <v>118.35</v>
      </c>
      <c r="C80" s="25">
        <v>34.45</v>
      </c>
      <c r="D80" s="10">
        <f t="shared" si="1"/>
        <v>0.9999</v>
      </c>
      <c r="E80" s="2">
        <v>500000</v>
      </c>
      <c r="F80" s="2">
        <v>0</v>
      </c>
      <c r="G80" s="2">
        <v>10000</v>
      </c>
      <c r="H80" t="s">
        <v>17</v>
      </c>
    </row>
    <row r="81" spans="2:6" ht="12.75">
      <c r="B81" s="25"/>
      <c r="C81" s="25"/>
      <c r="E81" s="2"/>
      <c r="F81" s="2"/>
    </row>
    <row r="82" spans="1:8" ht="12.75">
      <c r="A82" s="1" t="s">
        <v>104</v>
      </c>
      <c r="B82" s="25">
        <v>71.4</v>
      </c>
      <c r="C82" s="25">
        <v>42.3</v>
      </c>
      <c r="D82" s="10">
        <f t="shared" si="1"/>
        <v>0.9999666666666667</v>
      </c>
      <c r="E82" s="2">
        <v>500000</v>
      </c>
      <c r="F82" s="2">
        <v>0</v>
      </c>
      <c r="G82" s="2">
        <v>30000</v>
      </c>
      <c r="H82" s="1" t="s">
        <v>104</v>
      </c>
    </row>
    <row r="83" spans="2:7" ht="12.75">
      <c r="B83" s="25"/>
      <c r="C83" s="25"/>
      <c r="E83" s="2"/>
      <c r="F83" s="2"/>
      <c r="G83" s="2"/>
    </row>
    <row r="84" spans="1:8" ht="12.75">
      <c r="A84" s="1" t="s">
        <v>105</v>
      </c>
      <c r="B84" s="25">
        <v>74.4</v>
      </c>
      <c r="C84" s="25">
        <v>38.5</v>
      </c>
      <c r="D84" s="10">
        <f t="shared" si="1"/>
        <v>0.999975</v>
      </c>
      <c r="E84" s="2">
        <v>2000000</v>
      </c>
      <c r="F84" s="2">
        <v>0</v>
      </c>
      <c r="G84" s="2">
        <v>40000</v>
      </c>
      <c r="H84" s="1" t="s">
        <v>105</v>
      </c>
    </row>
    <row r="85" spans="2:6" ht="12.75">
      <c r="B85" s="25"/>
      <c r="C85" s="25"/>
      <c r="E85" s="2"/>
      <c r="F85" s="2"/>
    </row>
    <row r="86" spans="1:8" ht="12.75">
      <c r="A86" s="1" t="s">
        <v>106</v>
      </c>
      <c r="B86" s="25"/>
      <c r="C86" s="25"/>
      <c r="E86" s="2"/>
      <c r="F86" s="2"/>
      <c r="H86" s="1" t="s">
        <v>106</v>
      </c>
    </row>
    <row r="87" spans="1:8" ht="12.75">
      <c r="A87" t="s">
        <v>89</v>
      </c>
      <c r="B87" s="25">
        <v>104.2</v>
      </c>
      <c r="C87" s="25">
        <v>31</v>
      </c>
      <c r="D87" s="10">
        <f t="shared" si="1"/>
        <v>0.9999090909090909</v>
      </c>
      <c r="E87" s="2">
        <v>500000</v>
      </c>
      <c r="F87" s="2">
        <v>0</v>
      </c>
      <c r="G87" s="2">
        <v>11000</v>
      </c>
      <c r="H87" t="s">
        <v>89</v>
      </c>
    </row>
    <row r="88" spans="1:8" ht="12.75">
      <c r="A88" t="s">
        <v>19</v>
      </c>
      <c r="B88" s="25">
        <v>106.15</v>
      </c>
      <c r="C88" s="25">
        <v>31</v>
      </c>
      <c r="D88" s="10">
        <f t="shared" si="1"/>
        <v>0.9999</v>
      </c>
      <c r="E88" s="2">
        <v>500000</v>
      </c>
      <c r="F88" s="2">
        <v>0</v>
      </c>
      <c r="G88" s="2">
        <v>10000</v>
      </c>
      <c r="H88" t="s">
        <v>19</v>
      </c>
    </row>
    <row r="89" spans="1:8" ht="12.75">
      <c r="A89" t="s">
        <v>17</v>
      </c>
      <c r="B89" s="25">
        <v>107.5</v>
      </c>
      <c r="C89" s="25">
        <v>31</v>
      </c>
      <c r="D89" s="10">
        <f t="shared" si="1"/>
        <v>0.9999166666666667</v>
      </c>
      <c r="E89" s="2">
        <v>500000</v>
      </c>
      <c r="F89" s="2">
        <v>0</v>
      </c>
      <c r="G89" s="2">
        <v>12000</v>
      </c>
      <c r="H89" t="s">
        <v>17</v>
      </c>
    </row>
    <row r="90" spans="2:6" ht="12.75">
      <c r="B90" s="25"/>
      <c r="C90" s="25"/>
      <c r="E90" s="2"/>
      <c r="F90" s="2"/>
    </row>
    <row r="91" spans="1:8" ht="12.75">
      <c r="A91" s="1" t="s">
        <v>35</v>
      </c>
      <c r="B91" s="25"/>
      <c r="C91" s="25"/>
      <c r="E91" s="2"/>
      <c r="F91" s="2"/>
      <c r="H91" s="1" t="s">
        <v>35</v>
      </c>
    </row>
    <row r="92" spans="1:8" ht="12.75">
      <c r="A92" t="s">
        <v>89</v>
      </c>
      <c r="B92" s="25">
        <v>74.2</v>
      </c>
      <c r="C92" s="25">
        <v>40</v>
      </c>
      <c r="D92" s="10">
        <f t="shared" si="1"/>
        <v>0.9999666666666667</v>
      </c>
      <c r="E92" s="2">
        <v>500000</v>
      </c>
      <c r="F92" s="2">
        <v>0</v>
      </c>
      <c r="G92" s="2">
        <v>30000</v>
      </c>
      <c r="H92" t="s">
        <v>89</v>
      </c>
    </row>
    <row r="93" spans="1:8" ht="12.75">
      <c r="A93" t="s">
        <v>19</v>
      </c>
      <c r="B93" s="25">
        <v>76.35</v>
      </c>
      <c r="C93" s="25">
        <v>40</v>
      </c>
      <c r="D93" s="10">
        <f t="shared" si="1"/>
        <v>0.9999375</v>
      </c>
      <c r="E93" s="2">
        <v>500000</v>
      </c>
      <c r="F93" s="2">
        <v>0</v>
      </c>
      <c r="G93" s="2">
        <v>16000</v>
      </c>
      <c r="H93" t="s">
        <v>19</v>
      </c>
    </row>
    <row r="94" spans="1:8" ht="12.75">
      <c r="A94" t="s">
        <v>17</v>
      </c>
      <c r="B94" s="25">
        <v>78.35</v>
      </c>
      <c r="C94" s="25">
        <v>40</v>
      </c>
      <c r="D94" s="10">
        <f t="shared" si="1"/>
        <v>0.9999375</v>
      </c>
      <c r="E94" s="2">
        <v>500000</v>
      </c>
      <c r="F94" s="2">
        <v>0</v>
      </c>
      <c r="G94" s="2">
        <v>16000</v>
      </c>
      <c r="H94" t="s">
        <v>17</v>
      </c>
    </row>
    <row r="95" spans="2:6" ht="12.75">
      <c r="B95" s="25"/>
      <c r="C95" s="25"/>
      <c r="E95" s="2"/>
      <c r="F95" s="2"/>
    </row>
    <row r="96" spans="1:8" ht="12.75">
      <c r="A96" s="1" t="s">
        <v>107</v>
      </c>
      <c r="B96" s="25">
        <v>71.3</v>
      </c>
      <c r="C96" s="25">
        <v>41.05</v>
      </c>
      <c r="D96" s="10">
        <f t="shared" si="1"/>
        <v>0.99999375</v>
      </c>
      <c r="E96" s="2">
        <v>500000</v>
      </c>
      <c r="F96" s="2">
        <v>0</v>
      </c>
      <c r="G96" s="2">
        <v>160000</v>
      </c>
      <c r="H96" s="1" t="s">
        <v>107</v>
      </c>
    </row>
    <row r="97" spans="2:6" ht="12.75">
      <c r="B97" s="25"/>
      <c r="C97" s="25"/>
      <c r="E97" s="2"/>
      <c r="F97" s="2"/>
    </row>
    <row r="98" spans="1:8" ht="12.75">
      <c r="A98" s="1" t="s">
        <v>108</v>
      </c>
      <c r="B98" s="25">
        <v>72.3</v>
      </c>
      <c r="C98" s="25">
        <v>42.3</v>
      </c>
      <c r="D98" s="10">
        <f t="shared" si="1"/>
        <v>0.9999642857142857</v>
      </c>
      <c r="E98" s="2">
        <v>500000</v>
      </c>
      <c r="F98" s="2">
        <v>0</v>
      </c>
      <c r="G98" s="2">
        <v>28000</v>
      </c>
      <c r="H98" s="1" t="s">
        <v>108</v>
      </c>
    </row>
    <row r="99" spans="2:6" ht="12.75">
      <c r="B99" s="25"/>
      <c r="C99" s="25"/>
      <c r="E99" s="2"/>
      <c r="F99" s="2"/>
    </row>
    <row r="100" spans="1:8" ht="12.75">
      <c r="A100" s="1" t="s">
        <v>109</v>
      </c>
      <c r="B100" s="25"/>
      <c r="C100" s="25"/>
      <c r="E100" s="2"/>
      <c r="F100" s="2"/>
      <c r="H100" s="1" t="s">
        <v>109</v>
      </c>
    </row>
    <row r="101" spans="1:8" ht="12.75">
      <c r="A101" t="s">
        <v>89</v>
      </c>
      <c r="B101" s="25">
        <v>105.1</v>
      </c>
      <c r="C101" s="25">
        <v>40.4</v>
      </c>
      <c r="D101" s="10">
        <f t="shared" si="1"/>
        <v>0.9999411764705882</v>
      </c>
      <c r="E101" s="2">
        <v>500000</v>
      </c>
      <c r="F101" s="2">
        <v>0</v>
      </c>
      <c r="G101" s="2">
        <v>17000</v>
      </c>
      <c r="H101" t="s">
        <v>89</v>
      </c>
    </row>
    <row r="102" spans="1:8" ht="12.75">
      <c r="A102" t="s">
        <v>110</v>
      </c>
      <c r="B102" s="25">
        <v>107.2</v>
      </c>
      <c r="C102" s="25">
        <v>40.4</v>
      </c>
      <c r="D102" s="10">
        <f t="shared" si="1"/>
        <v>0.9999411764705882</v>
      </c>
      <c r="E102" s="2">
        <v>500000</v>
      </c>
      <c r="F102" s="2">
        <v>0</v>
      </c>
      <c r="G102" s="2">
        <v>17000</v>
      </c>
      <c r="H102" t="s">
        <v>110</v>
      </c>
    </row>
    <row r="103" spans="1:8" ht="12.75">
      <c r="A103" t="s">
        <v>111</v>
      </c>
      <c r="B103" s="25">
        <v>108.45</v>
      </c>
      <c r="C103" s="25">
        <v>40.4</v>
      </c>
      <c r="D103" s="10">
        <f t="shared" si="1"/>
        <v>0.9999411764705882</v>
      </c>
      <c r="E103" s="2">
        <v>500000</v>
      </c>
      <c r="F103" s="2">
        <v>0</v>
      </c>
      <c r="G103" s="2">
        <v>17000</v>
      </c>
      <c r="H103" t="s">
        <v>111</v>
      </c>
    </row>
    <row r="104" spans="1:8" ht="12.75">
      <c r="A104" t="s">
        <v>17</v>
      </c>
      <c r="B104" s="25">
        <v>110.05</v>
      </c>
      <c r="C104" s="25">
        <v>40.4</v>
      </c>
      <c r="D104" s="10">
        <f t="shared" si="1"/>
        <v>0.9999411764705882</v>
      </c>
      <c r="E104" s="2">
        <v>500000</v>
      </c>
      <c r="F104" s="2">
        <v>0</v>
      </c>
      <c r="G104" s="2">
        <v>17000</v>
      </c>
      <c r="H104" t="s">
        <v>17</v>
      </c>
    </row>
    <row r="105" spans="5:6" ht="12.75">
      <c r="E105" s="2"/>
      <c r="F105" s="2"/>
    </row>
    <row r="106" spans="5:6" ht="12.75">
      <c r="E106" s="2"/>
      <c r="F106" s="2"/>
    </row>
    <row r="107" spans="5:6" ht="12.75">
      <c r="E107" s="2"/>
      <c r="F107" s="2"/>
    </row>
    <row r="108" spans="5:6" ht="12.75">
      <c r="E108" s="2"/>
      <c r="F108" s="2"/>
    </row>
    <row r="109" spans="5:6" ht="12.75">
      <c r="E109" s="2"/>
      <c r="F109" s="2"/>
    </row>
    <row r="110" spans="5:6" ht="12.75">
      <c r="E110" s="2"/>
      <c r="F110" s="2"/>
    </row>
    <row r="111" spans="5:6" ht="12.75">
      <c r="E111" s="2"/>
      <c r="F111" s="2"/>
    </row>
  </sheetData>
  <printOptions/>
  <pageMargins left="0.75" right="0.75" top="1" bottom="1" header="0.5" footer="0.5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11"/>
  <sheetViews>
    <sheetView workbookViewId="0" topLeftCell="A1">
      <selection activeCell="B20" sqref="B20"/>
    </sheetView>
  </sheetViews>
  <sheetFormatPr defaultColWidth="11.00390625" defaultRowHeight="12.75"/>
  <cols>
    <col min="1" max="1" width="14.00390625" style="0" customWidth="1"/>
    <col min="2" max="2" width="14.625" style="0" customWidth="1"/>
    <col min="3" max="3" width="13.625" style="0" customWidth="1"/>
    <col min="4" max="4" width="11.375" style="0" customWidth="1"/>
    <col min="6" max="6" width="11.375" style="0" customWidth="1"/>
    <col min="7" max="7" width="11.375" style="9" customWidth="1"/>
    <col min="8" max="8" width="15.125" style="0" customWidth="1"/>
  </cols>
  <sheetData>
    <row r="1" spans="2:7" ht="12.75">
      <c r="B1" s="2"/>
      <c r="C1" s="2"/>
      <c r="D1" s="2"/>
      <c r="E1" s="2"/>
      <c r="F1" s="4" t="s">
        <v>57</v>
      </c>
      <c r="G1" s="24"/>
    </row>
    <row r="2" spans="2:7" ht="12.75">
      <c r="B2" s="2"/>
      <c r="C2" s="2"/>
      <c r="D2" s="2"/>
      <c r="E2" s="2"/>
      <c r="F2">
        <v>6378137</v>
      </c>
      <c r="G2" s="9" t="s">
        <v>58</v>
      </c>
    </row>
    <row r="3" spans="2:7" ht="15">
      <c r="B3" s="2"/>
      <c r="C3" s="2"/>
      <c r="D3" s="2"/>
      <c r="E3" s="2"/>
      <c r="F3">
        <v>0.006694381317</v>
      </c>
      <c r="G3" s="9" t="s">
        <v>59</v>
      </c>
    </row>
    <row r="4" spans="2:7" ht="12.75">
      <c r="B4" s="2"/>
      <c r="C4" s="2"/>
      <c r="D4" s="2"/>
      <c r="E4" s="2"/>
      <c r="F4">
        <f>SQRT(F3)</f>
        <v>0.08181919895110194</v>
      </c>
      <c r="G4" s="9" t="s">
        <v>60</v>
      </c>
    </row>
    <row r="5" spans="1:8" ht="15">
      <c r="A5" s="5" t="s">
        <v>77</v>
      </c>
      <c r="B5" s="2"/>
      <c r="C5" s="2"/>
      <c r="D5" s="2"/>
      <c r="E5" s="2"/>
      <c r="F5" s="2"/>
      <c r="H5" s="2"/>
    </row>
    <row r="6" ht="12.75">
      <c r="G6"/>
    </row>
    <row r="7" spans="1:7" ht="12.75">
      <c r="A7" s="8"/>
      <c r="B7" s="6" t="s">
        <v>82</v>
      </c>
      <c r="C7" s="6" t="s">
        <v>83</v>
      </c>
      <c r="D7" s="11" t="s">
        <v>86</v>
      </c>
      <c r="E7" s="8" t="s">
        <v>69</v>
      </c>
      <c r="F7" s="8" t="s">
        <v>68</v>
      </c>
      <c r="G7" s="8" t="s">
        <v>84</v>
      </c>
    </row>
    <row r="8" spans="2:7" ht="15">
      <c r="B8" s="13" t="s">
        <v>85</v>
      </c>
      <c r="C8" s="2"/>
      <c r="D8" s="12" t="s">
        <v>87</v>
      </c>
      <c r="E8" s="4" t="s">
        <v>112</v>
      </c>
      <c r="F8" s="4" t="s">
        <v>112</v>
      </c>
      <c r="G8" s="14" t="s">
        <v>92</v>
      </c>
    </row>
    <row r="9" spans="2:7" ht="12.75">
      <c r="B9" s="2"/>
      <c r="C9" s="2"/>
      <c r="D9" s="10"/>
      <c r="G9" s="4"/>
    </row>
    <row r="10" spans="1:8" ht="12.75">
      <c r="A10" s="1" t="s">
        <v>88</v>
      </c>
      <c r="B10" s="2"/>
      <c r="C10" s="2"/>
      <c r="D10" s="10"/>
      <c r="G10"/>
      <c r="H10" s="1" t="s">
        <v>88</v>
      </c>
    </row>
    <row r="11" spans="1:8" ht="12.75">
      <c r="A11" t="s">
        <v>89</v>
      </c>
      <c r="B11" s="25">
        <v>85.5</v>
      </c>
      <c r="C11" s="25">
        <v>30.3</v>
      </c>
      <c r="D11" s="10">
        <f>1-1/G11</f>
        <v>0.99996</v>
      </c>
      <c r="E11" s="2">
        <v>200000</v>
      </c>
      <c r="F11" s="2">
        <v>0</v>
      </c>
      <c r="G11">
        <v>25000</v>
      </c>
      <c r="H11" t="s">
        <v>89</v>
      </c>
    </row>
    <row r="12" spans="1:8" ht="12.75">
      <c r="A12" t="s">
        <v>17</v>
      </c>
      <c r="B12" s="25">
        <v>87.3</v>
      </c>
      <c r="C12" s="25">
        <v>30</v>
      </c>
      <c r="D12" s="10">
        <f aca="true" t="shared" si="0" ref="D12:D73">1-1/G12</f>
        <v>0.9999333333333333</v>
      </c>
      <c r="E12" s="2">
        <v>600000</v>
      </c>
      <c r="F12" s="2">
        <v>0</v>
      </c>
      <c r="G12">
        <v>15000</v>
      </c>
      <c r="H12" t="s">
        <v>17</v>
      </c>
    </row>
    <row r="13" spans="2:7" ht="12.75">
      <c r="B13" s="25"/>
      <c r="C13" s="25"/>
      <c r="D13" s="10"/>
      <c r="E13" s="2"/>
      <c r="F13" s="2"/>
      <c r="G13"/>
    </row>
    <row r="14" spans="1:8" ht="12.75">
      <c r="A14" s="1" t="s">
        <v>0</v>
      </c>
      <c r="B14" s="25"/>
      <c r="C14" s="25"/>
      <c r="D14" s="10"/>
      <c r="E14" s="2"/>
      <c r="F14" s="2"/>
      <c r="G14"/>
      <c r="H14" s="1" t="s">
        <v>0</v>
      </c>
    </row>
    <row r="15" spans="1:8" ht="12.75">
      <c r="A15" s="3">
        <v>2</v>
      </c>
      <c r="B15" s="25">
        <v>142</v>
      </c>
      <c r="C15" s="25">
        <v>54</v>
      </c>
      <c r="D15" s="10">
        <f t="shared" si="0"/>
        <v>0.9999</v>
      </c>
      <c r="E15" s="2">
        <v>500000</v>
      </c>
      <c r="F15" s="2">
        <v>0</v>
      </c>
      <c r="G15">
        <v>10000</v>
      </c>
      <c r="H15" s="3">
        <v>2</v>
      </c>
    </row>
    <row r="16" spans="1:8" ht="12.75">
      <c r="A16" s="3">
        <v>3</v>
      </c>
      <c r="B16" s="25">
        <v>146</v>
      </c>
      <c r="C16" s="25">
        <v>54</v>
      </c>
      <c r="D16" s="10">
        <f t="shared" si="0"/>
        <v>0.9999</v>
      </c>
      <c r="E16" s="2">
        <v>500000</v>
      </c>
      <c r="F16" s="2">
        <v>0</v>
      </c>
      <c r="G16">
        <v>10000</v>
      </c>
      <c r="H16" s="3">
        <v>3</v>
      </c>
    </row>
    <row r="17" spans="1:8" ht="12.75">
      <c r="A17" s="3">
        <v>4</v>
      </c>
      <c r="B17" s="25">
        <v>150</v>
      </c>
      <c r="C17" s="25">
        <v>54</v>
      </c>
      <c r="D17" s="10">
        <f t="shared" si="0"/>
        <v>0.9999</v>
      </c>
      <c r="E17" s="2">
        <v>500000</v>
      </c>
      <c r="F17" s="2">
        <v>0</v>
      </c>
      <c r="G17">
        <v>10000</v>
      </c>
      <c r="H17" s="3">
        <v>4</v>
      </c>
    </row>
    <row r="18" spans="1:8" ht="12.75">
      <c r="A18" s="3">
        <v>5</v>
      </c>
      <c r="B18" s="25">
        <v>154</v>
      </c>
      <c r="C18" s="25">
        <v>54</v>
      </c>
      <c r="D18" s="10">
        <f t="shared" si="0"/>
        <v>0.9999</v>
      </c>
      <c r="E18" s="2">
        <v>500000</v>
      </c>
      <c r="F18" s="2">
        <v>0</v>
      </c>
      <c r="G18">
        <v>10000</v>
      </c>
      <c r="H18" s="3">
        <v>5</v>
      </c>
    </row>
    <row r="19" spans="1:8" ht="12.75">
      <c r="A19" s="3">
        <v>6</v>
      </c>
      <c r="B19" s="25">
        <v>158</v>
      </c>
      <c r="C19" s="25">
        <v>54</v>
      </c>
      <c r="D19" s="10">
        <f t="shared" si="0"/>
        <v>0.9999</v>
      </c>
      <c r="E19" s="2">
        <v>500000</v>
      </c>
      <c r="F19" s="2">
        <v>0</v>
      </c>
      <c r="G19">
        <v>10000</v>
      </c>
      <c r="H19" s="3">
        <v>6</v>
      </c>
    </row>
    <row r="20" spans="1:8" ht="12.75">
      <c r="A20" s="3">
        <v>7</v>
      </c>
      <c r="B20" s="25">
        <v>162</v>
      </c>
      <c r="C20" s="25">
        <v>54</v>
      </c>
      <c r="D20" s="10">
        <f t="shared" si="0"/>
        <v>0.9999</v>
      </c>
      <c r="E20" s="2">
        <v>500000</v>
      </c>
      <c r="F20" s="2">
        <v>0</v>
      </c>
      <c r="G20">
        <v>10000</v>
      </c>
      <c r="H20" s="3">
        <v>7</v>
      </c>
    </row>
    <row r="21" spans="1:8" ht="12.75">
      <c r="A21" s="3">
        <v>8</v>
      </c>
      <c r="B21" s="25">
        <v>166</v>
      </c>
      <c r="C21" s="25">
        <v>54</v>
      </c>
      <c r="D21" s="10">
        <f t="shared" si="0"/>
        <v>0.9999</v>
      </c>
      <c r="E21" s="2">
        <v>500000</v>
      </c>
      <c r="F21" s="2">
        <v>0</v>
      </c>
      <c r="G21">
        <v>10000</v>
      </c>
      <c r="H21" s="3">
        <v>8</v>
      </c>
    </row>
    <row r="22" spans="1:8" ht="12.75">
      <c r="A22" s="3">
        <v>9</v>
      </c>
      <c r="B22" s="25">
        <v>170</v>
      </c>
      <c r="C22" s="25">
        <v>54</v>
      </c>
      <c r="D22" s="10">
        <f t="shared" si="0"/>
        <v>0.9999</v>
      </c>
      <c r="E22" s="2">
        <v>500000</v>
      </c>
      <c r="F22" s="2">
        <v>0</v>
      </c>
      <c r="G22">
        <v>10000</v>
      </c>
      <c r="H22" s="3">
        <v>9</v>
      </c>
    </row>
    <row r="23" spans="2:7" ht="12.75">
      <c r="B23" s="25"/>
      <c r="C23" s="25"/>
      <c r="D23" s="10"/>
      <c r="E23" s="2"/>
      <c r="F23" s="2"/>
      <c r="G23"/>
    </row>
    <row r="24" spans="1:8" ht="12.75">
      <c r="A24" s="1" t="s">
        <v>90</v>
      </c>
      <c r="B24" s="25"/>
      <c r="C24" s="25"/>
      <c r="D24" s="10"/>
      <c r="E24" s="2"/>
      <c r="F24" s="2"/>
      <c r="G24"/>
      <c r="H24" s="1" t="s">
        <v>90</v>
      </c>
    </row>
    <row r="25" spans="1:8" ht="12.75">
      <c r="A25" t="s">
        <v>89</v>
      </c>
      <c r="B25" s="25">
        <v>110.1</v>
      </c>
      <c r="C25" s="25">
        <v>31</v>
      </c>
      <c r="D25" s="10">
        <f t="shared" si="0"/>
        <v>0.9999</v>
      </c>
      <c r="E25" s="2">
        <v>213360</v>
      </c>
      <c r="F25" s="2">
        <v>0</v>
      </c>
      <c r="G25">
        <v>10000</v>
      </c>
      <c r="H25" t="s">
        <v>89</v>
      </c>
    </row>
    <row r="26" spans="1:8" ht="12.75">
      <c r="A26" t="s">
        <v>19</v>
      </c>
      <c r="B26" s="25">
        <v>111.55</v>
      </c>
      <c r="C26" s="25">
        <v>31</v>
      </c>
      <c r="D26" s="10">
        <f t="shared" si="0"/>
        <v>0.9999</v>
      </c>
      <c r="E26" s="2">
        <v>213360</v>
      </c>
      <c r="F26" s="2">
        <v>0</v>
      </c>
      <c r="G26">
        <v>10000</v>
      </c>
      <c r="H26" t="s">
        <v>19</v>
      </c>
    </row>
    <row r="27" spans="1:8" ht="12.75">
      <c r="A27" t="s">
        <v>17</v>
      </c>
      <c r="B27" s="25">
        <v>113.45</v>
      </c>
      <c r="C27" s="25">
        <v>31</v>
      </c>
      <c r="D27" s="10">
        <f t="shared" si="0"/>
        <v>0.9999333333333333</v>
      </c>
      <c r="E27" s="2">
        <v>213360</v>
      </c>
      <c r="F27" s="2">
        <v>0</v>
      </c>
      <c r="G27">
        <v>15000</v>
      </c>
      <c r="H27" t="s">
        <v>17</v>
      </c>
    </row>
    <row r="28" spans="2:7" ht="12.75">
      <c r="B28" s="25"/>
      <c r="C28" s="25"/>
      <c r="D28" s="10"/>
      <c r="E28" s="2"/>
      <c r="F28" s="2"/>
      <c r="G28"/>
    </row>
    <row r="29" spans="1:8" ht="12.75">
      <c r="A29" s="1" t="s">
        <v>91</v>
      </c>
      <c r="B29" s="25">
        <v>72.25</v>
      </c>
      <c r="C29" s="25">
        <v>38</v>
      </c>
      <c r="D29" s="10">
        <f t="shared" si="0"/>
        <v>0.999995</v>
      </c>
      <c r="E29" s="2">
        <v>200000</v>
      </c>
      <c r="F29" s="2">
        <v>0</v>
      </c>
      <c r="G29">
        <v>200000</v>
      </c>
      <c r="H29" s="1" t="s">
        <v>91</v>
      </c>
    </row>
    <row r="30" spans="2:7" ht="12.75">
      <c r="B30" s="25"/>
      <c r="C30" s="25"/>
      <c r="D30" s="10"/>
      <c r="E30" s="2"/>
      <c r="F30" s="2"/>
      <c r="G30"/>
    </row>
    <row r="31" spans="1:8" ht="12.75">
      <c r="A31" s="1" t="s">
        <v>21</v>
      </c>
      <c r="B31" s="25"/>
      <c r="C31" s="25"/>
      <c r="D31" s="10"/>
      <c r="E31" s="2"/>
      <c r="F31" s="2"/>
      <c r="G31"/>
      <c r="H31" s="1" t="s">
        <v>21</v>
      </c>
    </row>
    <row r="32" spans="1:8" ht="12.75">
      <c r="A32" t="s">
        <v>89</v>
      </c>
      <c r="B32" s="25">
        <v>81</v>
      </c>
      <c r="C32" s="25">
        <v>24.2</v>
      </c>
      <c r="D32" s="10">
        <f t="shared" si="0"/>
        <v>0.9999411764705882</v>
      </c>
      <c r="E32" s="2">
        <v>200000</v>
      </c>
      <c r="F32" s="2">
        <v>0</v>
      </c>
      <c r="G32">
        <v>17000</v>
      </c>
      <c r="H32" t="s">
        <v>89</v>
      </c>
    </row>
    <row r="33" spans="1:8" ht="12.75">
      <c r="A33" t="s">
        <v>17</v>
      </c>
      <c r="B33" s="25">
        <v>82</v>
      </c>
      <c r="C33" s="25">
        <v>24.2</v>
      </c>
      <c r="D33" s="10">
        <f t="shared" si="0"/>
        <v>0.9999411764705882</v>
      </c>
      <c r="E33" s="2">
        <v>200000</v>
      </c>
      <c r="F33" s="2">
        <v>0</v>
      </c>
      <c r="G33">
        <v>17000</v>
      </c>
      <c r="H33" t="s">
        <v>17</v>
      </c>
    </row>
    <row r="34" spans="2:7" ht="12.75">
      <c r="B34" s="25"/>
      <c r="C34" s="25"/>
      <c r="D34" s="10"/>
      <c r="E34" s="2"/>
      <c r="F34" s="2"/>
      <c r="G34"/>
    </row>
    <row r="35" spans="1:8" ht="12.75">
      <c r="A35" s="1" t="s">
        <v>94</v>
      </c>
      <c r="B35" s="25"/>
      <c r="C35" s="25"/>
      <c r="D35" s="10"/>
      <c r="E35" s="2"/>
      <c r="F35" s="2"/>
      <c r="G35"/>
      <c r="H35" s="1" t="s">
        <v>94</v>
      </c>
    </row>
    <row r="36" spans="1:8" ht="12.75">
      <c r="A36" t="s">
        <v>89</v>
      </c>
      <c r="B36" s="25">
        <v>82.1</v>
      </c>
      <c r="C36" s="25">
        <v>30</v>
      </c>
      <c r="D36" s="10">
        <f t="shared" si="0"/>
        <v>0.9999</v>
      </c>
      <c r="E36" s="2">
        <v>200000</v>
      </c>
      <c r="F36" s="2">
        <v>0</v>
      </c>
      <c r="G36" s="2">
        <v>10000</v>
      </c>
      <c r="H36" t="s">
        <v>89</v>
      </c>
    </row>
    <row r="37" spans="1:8" ht="12.75">
      <c r="A37" t="s">
        <v>17</v>
      </c>
      <c r="B37" s="25">
        <v>84.1</v>
      </c>
      <c r="C37" s="25">
        <v>30</v>
      </c>
      <c r="D37" s="10">
        <f t="shared" si="0"/>
        <v>0.9999</v>
      </c>
      <c r="E37" s="2">
        <v>700000</v>
      </c>
      <c r="F37" s="2">
        <v>0</v>
      </c>
      <c r="G37" s="2">
        <v>10000</v>
      </c>
      <c r="H37" t="s">
        <v>17</v>
      </c>
    </row>
    <row r="38" spans="2:7" ht="12.75">
      <c r="B38" s="2"/>
      <c r="C38" s="2"/>
      <c r="D38" s="10"/>
      <c r="E38" s="2"/>
      <c r="F38" s="2"/>
      <c r="G38"/>
    </row>
    <row r="39" spans="1:7" ht="12.75">
      <c r="A39" s="8"/>
      <c r="B39" s="6" t="s">
        <v>82</v>
      </c>
      <c r="C39" s="6" t="s">
        <v>83</v>
      </c>
      <c r="D39" s="11" t="s">
        <v>86</v>
      </c>
      <c r="E39" s="8" t="s">
        <v>69</v>
      </c>
      <c r="F39" s="8" t="s">
        <v>68</v>
      </c>
      <c r="G39" s="8" t="s">
        <v>84</v>
      </c>
    </row>
    <row r="40" spans="2:7" ht="15">
      <c r="B40" s="13" t="s">
        <v>85</v>
      </c>
      <c r="C40" s="2"/>
      <c r="D40" s="12" t="s">
        <v>87</v>
      </c>
      <c r="E40" s="4" t="s">
        <v>112</v>
      </c>
      <c r="F40" s="4" t="s">
        <v>112</v>
      </c>
      <c r="G40" s="14" t="s">
        <v>92</v>
      </c>
    </row>
    <row r="41" spans="2:7" ht="12.75">
      <c r="B41" s="2"/>
      <c r="C41" s="2"/>
      <c r="D41" s="10"/>
      <c r="G41" s="4"/>
    </row>
    <row r="42" spans="1:8" ht="12.75">
      <c r="A42" s="1" t="s">
        <v>95</v>
      </c>
      <c r="B42" s="2"/>
      <c r="C42" s="2"/>
      <c r="D42" s="10"/>
      <c r="E42" s="2"/>
      <c r="F42" s="2"/>
      <c r="G42"/>
      <c r="H42" s="1" t="s">
        <v>95</v>
      </c>
    </row>
    <row r="43" spans="1:8" ht="12.75">
      <c r="A43" s="3">
        <v>1</v>
      </c>
      <c r="B43" s="25">
        <v>155.3</v>
      </c>
      <c r="C43" s="25">
        <v>18.5</v>
      </c>
      <c r="D43" s="10">
        <f t="shared" si="0"/>
        <v>0.9999666666666667</v>
      </c>
      <c r="E43" s="2">
        <v>500000</v>
      </c>
      <c r="F43" s="2">
        <v>0</v>
      </c>
      <c r="G43" s="2">
        <v>30000</v>
      </c>
      <c r="H43" s="3">
        <v>1</v>
      </c>
    </row>
    <row r="44" spans="1:8" ht="12.75">
      <c r="A44" s="3">
        <v>2</v>
      </c>
      <c r="B44" s="25">
        <v>156.4</v>
      </c>
      <c r="C44" s="25">
        <v>20.2</v>
      </c>
      <c r="D44" s="10">
        <f t="shared" si="0"/>
        <v>0.9999666666666667</v>
      </c>
      <c r="E44" s="2">
        <v>500000</v>
      </c>
      <c r="F44" s="2">
        <v>0</v>
      </c>
      <c r="G44" s="2">
        <v>30000</v>
      </c>
      <c r="H44" s="3">
        <v>2</v>
      </c>
    </row>
    <row r="45" spans="1:8" ht="12.75">
      <c r="A45" s="3">
        <v>3</v>
      </c>
      <c r="B45" s="25">
        <v>158</v>
      </c>
      <c r="C45" s="25">
        <v>21.1</v>
      </c>
      <c r="D45" s="10">
        <f t="shared" si="0"/>
        <v>0.99999</v>
      </c>
      <c r="E45" s="2">
        <v>500000</v>
      </c>
      <c r="F45" s="2">
        <v>0</v>
      </c>
      <c r="G45" s="2">
        <v>100000</v>
      </c>
      <c r="H45" s="3">
        <v>3</v>
      </c>
    </row>
    <row r="46" spans="1:8" ht="12.75">
      <c r="A46" s="3">
        <v>4</v>
      </c>
      <c r="B46" s="25">
        <v>159.3</v>
      </c>
      <c r="C46" s="25">
        <v>21.5</v>
      </c>
      <c r="D46" s="10">
        <f t="shared" si="0"/>
        <v>0.99999</v>
      </c>
      <c r="E46" s="2">
        <v>500000</v>
      </c>
      <c r="F46" s="2">
        <v>0</v>
      </c>
      <c r="G46" s="2">
        <v>100000</v>
      </c>
      <c r="H46" s="3">
        <v>4</v>
      </c>
    </row>
    <row r="47" spans="1:8" ht="12.75">
      <c r="A47" s="3">
        <v>5</v>
      </c>
      <c r="B47" s="25">
        <v>160.1</v>
      </c>
      <c r="C47" s="25">
        <v>21.4</v>
      </c>
      <c r="D47" s="10">
        <v>1</v>
      </c>
      <c r="E47" s="2">
        <v>500000</v>
      </c>
      <c r="F47" s="2">
        <v>0</v>
      </c>
      <c r="G47" s="2">
        <v>0</v>
      </c>
      <c r="H47" s="3">
        <v>5</v>
      </c>
    </row>
    <row r="48" spans="2:7" ht="12.75">
      <c r="B48" s="25"/>
      <c r="C48" s="25"/>
      <c r="D48" s="10"/>
      <c r="E48" s="2"/>
      <c r="F48" s="2"/>
      <c r="G48"/>
    </row>
    <row r="49" spans="1:8" ht="12.75">
      <c r="A49" s="1" t="s">
        <v>96</v>
      </c>
      <c r="B49" s="25"/>
      <c r="C49" s="25"/>
      <c r="D49" s="10"/>
      <c r="E49" s="2"/>
      <c r="F49" s="2"/>
      <c r="G49"/>
      <c r="H49" s="1" t="s">
        <v>96</v>
      </c>
    </row>
    <row r="50" spans="1:8" ht="12.75">
      <c r="A50" t="s">
        <v>89</v>
      </c>
      <c r="B50" s="25">
        <v>112.1</v>
      </c>
      <c r="C50" s="25">
        <v>41.4</v>
      </c>
      <c r="D50" s="10">
        <f t="shared" si="0"/>
        <v>0.9999473684210526</v>
      </c>
      <c r="E50" s="2">
        <v>200000</v>
      </c>
      <c r="F50" s="2">
        <v>0</v>
      </c>
      <c r="G50" s="2">
        <v>19000</v>
      </c>
      <c r="H50" t="s">
        <v>89</v>
      </c>
    </row>
    <row r="51" spans="1:8" ht="12.75">
      <c r="A51" t="s">
        <v>19</v>
      </c>
      <c r="B51" s="25">
        <v>114</v>
      </c>
      <c r="C51" s="25">
        <v>41.4</v>
      </c>
      <c r="D51" s="10">
        <f t="shared" si="0"/>
        <v>0.9999473684210526</v>
      </c>
      <c r="E51" s="2">
        <v>500000</v>
      </c>
      <c r="F51" s="2">
        <v>0</v>
      </c>
      <c r="G51" s="2">
        <v>19000</v>
      </c>
      <c r="H51" t="s">
        <v>19</v>
      </c>
    </row>
    <row r="52" spans="1:8" ht="12.75">
      <c r="A52" t="s">
        <v>17</v>
      </c>
      <c r="B52" s="25">
        <v>115.45</v>
      </c>
      <c r="C52" s="25">
        <v>41.4</v>
      </c>
      <c r="D52" s="10">
        <f t="shared" si="0"/>
        <v>0.9999333333333333</v>
      </c>
      <c r="E52" s="2">
        <v>800000</v>
      </c>
      <c r="F52" s="2">
        <v>0</v>
      </c>
      <c r="G52" s="2">
        <v>15000</v>
      </c>
      <c r="H52" t="s">
        <v>17</v>
      </c>
    </row>
    <row r="53" spans="2:7" ht="12.75">
      <c r="B53" s="25"/>
      <c r="C53" s="25"/>
      <c r="D53" s="10"/>
      <c r="E53" s="2"/>
      <c r="F53" s="2"/>
      <c r="G53"/>
    </row>
    <row r="54" spans="1:8" ht="12.75">
      <c r="A54" s="1" t="s">
        <v>97</v>
      </c>
      <c r="B54" s="25"/>
      <c r="C54" s="25"/>
      <c r="D54" s="10"/>
      <c r="E54" s="2"/>
      <c r="F54" s="2"/>
      <c r="G54"/>
      <c r="H54" s="1" t="s">
        <v>97</v>
      </c>
    </row>
    <row r="55" spans="1:8" ht="12.75">
      <c r="A55" t="s">
        <v>89</v>
      </c>
      <c r="B55" s="25">
        <v>88.2</v>
      </c>
      <c r="C55" s="25">
        <v>36.4</v>
      </c>
      <c r="D55" s="10">
        <f t="shared" si="0"/>
        <v>0.999975</v>
      </c>
      <c r="E55" s="2">
        <v>300000</v>
      </c>
      <c r="F55" s="2">
        <v>0</v>
      </c>
      <c r="G55" s="2">
        <v>40000</v>
      </c>
      <c r="H55" t="s">
        <v>89</v>
      </c>
    </row>
    <row r="56" spans="1:8" ht="12.75">
      <c r="A56" t="s">
        <v>17</v>
      </c>
      <c r="B56" s="25">
        <v>90.1</v>
      </c>
      <c r="C56" s="25">
        <v>36.4</v>
      </c>
      <c r="D56" s="10">
        <f t="shared" si="0"/>
        <v>0.9999411764705882</v>
      </c>
      <c r="E56" s="2">
        <v>700000</v>
      </c>
      <c r="F56" s="2">
        <v>0</v>
      </c>
      <c r="G56" s="2">
        <v>17000</v>
      </c>
      <c r="H56" t="s">
        <v>17</v>
      </c>
    </row>
    <row r="57" spans="2:7" ht="12.75">
      <c r="B57" s="25"/>
      <c r="C57" s="25"/>
      <c r="D57" s="10"/>
      <c r="E57" s="2"/>
      <c r="F57" s="2"/>
      <c r="G57"/>
    </row>
    <row r="58" spans="1:8" ht="12.75">
      <c r="A58" s="1" t="s">
        <v>98</v>
      </c>
      <c r="B58" s="25"/>
      <c r="C58" s="25"/>
      <c r="D58" s="10"/>
      <c r="E58" s="2"/>
      <c r="F58" s="2"/>
      <c r="G58"/>
      <c r="H58" s="1" t="s">
        <v>98</v>
      </c>
    </row>
    <row r="59" spans="1:8" ht="12.75">
      <c r="A59" t="s">
        <v>89</v>
      </c>
      <c r="B59" s="25">
        <v>85.4</v>
      </c>
      <c r="C59" s="25">
        <v>37.3</v>
      </c>
      <c r="D59" s="10">
        <f t="shared" si="0"/>
        <v>0.9999666666666667</v>
      </c>
      <c r="E59" s="2">
        <v>100000</v>
      </c>
      <c r="F59" s="2">
        <v>250000</v>
      </c>
      <c r="G59" s="2">
        <v>30000</v>
      </c>
      <c r="H59" t="s">
        <v>89</v>
      </c>
    </row>
    <row r="60" spans="1:8" ht="12.75">
      <c r="A60" t="s">
        <v>17</v>
      </c>
      <c r="B60" s="25">
        <v>87.05</v>
      </c>
      <c r="C60" s="25">
        <v>37.3</v>
      </c>
      <c r="D60" s="10">
        <f t="shared" si="0"/>
        <v>0.9999666666666667</v>
      </c>
      <c r="E60" s="2">
        <v>900000</v>
      </c>
      <c r="F60" s="2">
        <v>250000</v>
      </c>
      <c r="G60" s="2">
        <v>30000</v>
      </c>
      <c r="H60" t="s">
        <v>17</v>
      </c>
    </row>
    <row r="61" spans="2:7" ht="12.75">
      <c r="B61" s="25"/>
      <c r="C61" s="25"/>
      <c r="D61" s="10"/>
      <c r="E61" s="2"/>
      <c r="F61" s="2"/>
      <c r="G61"/>
    </row>
    <row r="62" spans="1:8" ht="12.75">
      <c r="A62" s="1" t="s">
        <v>99</v>
      </c>
      <c r="B62" s="25"/>
      <c r="C62" s="25"/>
      <c r="D62" s="10"/>
      <c r="E62" s="2"/>
      <c r="F62" s="2"/>
      <c r="G62"/>
      <c r="H62" s="1" t="s">
        <v>99</v>
      </c>
    </row>
    <row r="63" spans="1:8" ht="12.75">
      <c r="A63" t="s">
        <v>89</v>
      </c>
      <c r="B63" s="25">
        <v>68.3</v>
      </c>
      <c r="C63" s="25">
        <v>43.4</v>
      </c>
      <c r="D63" s="10">
        <f t="shared" si="0"/>
        <v>0.9999</v>
      </c>
      <c r="E63" s="2">
        <v>300000</v>
      </c>
      <c r="F63" s="2">
        <v>0</v>
      </c>
      <c r="G63" s="2">
        <v>10000</v>
      </c>
      <c r="H63" t="s">
        <v>89</v>
      </c>
    </row>
    <row r="64" spans="1:8" ht="12.75">
      <c r="A64" t="s">
        <v>17</v>
      </c>
      <c r="B64" s="25">
        <v>70.1</v>
      </c>
      <c r="C64" s="25">
        <v>42.5</v>
      </c>
      <c r="D64" s="10">
        <f t="shared" si="0"/>
        <v>0.9999666666666667</v>
      </c>
      <c r="E64" s="2">
        <v>900000</v>
      </c>
      <c r="F64" s="2">
        <v>0</v>
      </c>
      <c r="G64" s="2">
        <v>30000</v>
      </c>
      <c r="H64" t="s">
        <v>17</v>
      </c>
    </row>
    <row r="65" spans="2:7" ht="12.75">
      <c r="B65" s="25"/>
      <c r="C65" s="25"/>
      <c r="D65" s="10"/>
      <c r="E65" s="2"/>
      <c r="F65" s="2"/>
      <c r="G65"/>
    </row>
    <row r="66" spans="1:8" ht="12.75">
      <c r="A66" s="1" t="s">
        <v>100</v>
      </c>
      <c r="B66" s="25"/>
      <c r="C66" s="25"/>
      <c r="D66" s="10"/>
      <c r="E66" s="2"/>
      <c r="F66" s="2"/>
      <c r="G66"/>
      <c r="H66" s="1" t="s">
        <v>100</v>
      </c>
    </row>
    <row r="67" spans="1:8" ht="12.75">
      <c r="A67" t="s">
        <v>89</v>
      </c>
      <c r="B67" s="25">
        <v>88.5</v>
      </c>
      <c r="C67" s="25">
        <v>29.3</v>
      </c>
      <c r="D67" s="10">
        <f t="shared" si="0"/>
        <v>0.99995</v>
      </c>
      <c r="E67" s="2">
        <v>300000</v>
      </c>
      <c r="F67" s="2">
        <v>0</v>
      </c>
      <c r="G67" s="2">
        <v>20000</v>
      </c>
      <c r="H67" t="s">
        <v>89</v>
      </c>
    </row>
    <row r="68" spans="1:8" ht="12.75">
      <c r="A68" t="s">
        <v>17</v>
      </c>
      <c r="B68" s="25">
        <v>90.2</v>
      </c>
      <c r="C68" s="25">
        <v>29.3</v>
      </c>
      <c r="D68" s="10">
        <f t="shared" si="0"/>
        <v>0.99995</v>
      </c>
      <c r="E68" s="2">
        <v>700000</v>
      </c>
      <c r="F68" s="2">
        <v>0</v>
      </c>
      <c r="G68" s="2">
        <v>20000</v>
      </c>
      <c r="H68" t="s">
        <v>17</v>
      </c>
    </row>
    <row r="69" spans="2:7" ht="12.75">
      <c r="B69" s="25"/>
      <c r="C69" s="25"/>
      <c r="D69" s="10"/>
      <c r="E69" s="2"/>
      <c r="F69" s="2"/>
      <c r="G69"/>
    </row>
    <row r="70" spans="1:8" ht="12.75">
      <c r="A70" s="1" t="s">
        <v>101</v>
      </c>
      <c r="B70" s="25"/>
      <c r="C70" s="25"/>
      <c r="D70" s="10"/>
      <c r="E70" s="2"/>
      <c r="F70" s="2"/>
      <c r="G70"/>
      <c r="H70" s="1" t="s">
        <v>101</v>
      </c>
    </row>
    <row r="71" spans="1:8" ht="12.75">
      <c r="A71" t="s">
        <v>89</v>
      </c>
      <c r="B71" s="25">
        <v>90.3</v>
      </c>
      <c r="C71" s="25">
        <v>35.5</v>
      </c>
      <c r="D71" s="10">
        <f t="shared" si="0"/>
        <v>0.9999333333333333</v>
      </c>
      <c r="E71" s="2">
        <v>250000</v>
      </c>
      <c r="F71" s="2">
        <v>0</v>
      </c>
      <c r="G71" s="2">
        <v>15000</v>
      </c>
      <c r="H71" t="s">
        <v>89</v>
      </c>
    </row>
    <row r="72" spans="1:8" ht="12.75">
      <c r="A72" t="s">
        <v>19</v>
      </c>
      <c r="B72" s="25">
        <v>92.3</v>
      </c>
      <c r="C72" s="25">
        <v>35.5</v>
      </c>
      <c r="D72" s="10">
        <f t="shared" si="0"/>
        <v>0.9999333333333333</v>
      </c>
      <c r="E72" s="2">
        <v>500000</v>
      </c>
      <c r="F72" s="2">
        <v>0</v>
      </c>
      <c r="G72" s="2">
        <v>15000</v>
      </c>
      <c r="H72" t="s">
        <v>19</v>
      </c>
    </row>
    <row r="73" spans="1:8" ht="12.75">
      <c r="A73" t="s">
        <v>17</v>
      </c>
      <c r="B73" s="25">
        <v>94.3</v>
      </c>
      <c r="C73" s="25">
        <v>36.1</v>
      </c>
      <c r="D73" s="10">
        <f t="shared" si="0"/>
        <v>0.9999411764705882</v>
      </c>
      <c r="E73" s="2">
        <v>850000</v>
      </c>
      <c r="F73" s="2">
        <v>0</v>
      </c>
      <c r="G73" s="2">
        <v>17000</v>
      </c>
      <c r="H73" t="s">
        <v>17</v>
      </c>
    </row>
    <row r="74" spans="2:7" ht="12.75">
      <c r="B74" s="25"/>
      <c r="C74" s="25"/>
      <c r="D74" s="10"/>
      <c r="E74" s="2"/>
      <c r="F74" s="2"/>
      <c r="G74"/>
    </row>
    <row r="75" spans="1:8" ht="12.75">
      <c r="A75" s="1" t="s">
        <v>102</v>
      </c>
      <c r="B75" s="25"/>
      <c r="C75" s="25"/>
      <c r="D75" s="10"/>
      <c r="E75" s="2"/>
      <c r="F75" s="2"/>
      <c r="G75"/>
      <c r="H75" s="1" t="s">
        <v>102</v>
      </c>
    </row>
    <row r="76" spans="1:8" ht="12.75">
      <c r="A76" t="s">
        <v>89</v>
      </c>
      <c r="B76" s="25">
        <v>115.35</v>
      </c>
      <c r="C76" s="25">
        <v>34.45</v>
      </c>
      <c r="D76" s="10">
        <f aca="true" t="shared" si="1" ref="D76:D104">1-1/G76</f>
        <v>0.9999</v>
      </c>
      <c r="E76" s="2">
        <v>200000</v>
      </c>
      <c r="F76" s="2">
        <v>8000000</v>
      </c>
      <c r="G76" s="2">
        <v>10000</v>
      </c>
      <c r="H76" t="s">
        <v>89</v>
      </c>
    </row>
    <row r="77" spans="1:8" ht="12.75">
      <c r="A77" t="s">
        <v>19</v>
      </c>
      <c r="B77" s="25">
        <v>116.4</v>
      </c>
      <c r="C77" s="25">
        <v>34.45</v>
      </c>
      <c r="D77" s="10">
        <f t="shared" si="1"/>
        <v>0.9999</v>
      </c>
      <c r="E77" s="2">
        <v>500000</v>
      </c>
      <c r="F77" s="2">
        <v>6000000</v>
      </c>
      <c r="G77" s="2">
        <v>10000</v>
      </c>
      <c r="H77" t="s">
        <v>19</v>
      </c>
    </row>
    <row r="78" spans="1:8" ht="12.75">
      <c r="A78" t="s">
        <v>17</v>
      </c>
      <c r="B78" s="25">
        <v>118.35</v>
      </c>
      <c r="C78" s="25">
        <v>34.45</v>
      </c>
      <c r="D78" s="10">
        <f t="shared" si="1"/>
        <v>0.9999</v>
      </c>
      <c r="E78" s="2">
        <v>800000</v>
      </c>
      <c r="F78" s="2">
        <v>4000000</v>
      </c>
      <c r="G78" s="2">
        <v>10000</v>
      </c>
      <c r="H78" t="s">
        <v>17</v>
      </c>
    </row>
    <row r="79" spans="2:7" ht="12.75">
      <c r="B79" s="6" t="s">
        <v>82</v>
      </c>
      <c r="C79" s="6" t="s">
        <v>83</v>
      </c>
      <c r="D79" s="11" t="s">
        <v>86</v>
      </c>
      <c r="E79" s="8" t="s">
        <v>69</v>
      </c>
      <c r="F79" s="8" t="s">
        <v>68</v>
      </c>
      <c r="G79" s="8" t="s">
        <v>84</v>
      </c>
    </row>
    <row r="80" spans="2:7" ht="15">
      <c r="B80" s="13" t="s">
        <v>85</v>
      </c>
      <c r="C80" s="2"/>
      <c r="D80" s="12" t="s">
        <v>87</v>
      </c>
      <c r="E80" s="4" t="s">
        <v>112</v>
      </c>
      <c r="F80" s="4" t="s">
        <v>112</v>
      </c>
      <c r="G80" s="14" t="s">
        <v>92</v>
      </c>
    </row>
    <row r="81" spans="2:7" ht="12.75">
      <c r="B81" s="2"/>
      <c r="C81" s="2"/>
      <c r="D81" s="10"/>
      <c r="E81" s="2"/>
      <c r="F81" s="2"/>
      <c r="G81"/>
    </row>
    <row r="82" spans="1:8" ht="12.75">
      <c r="A82" s="1" t="s">
        <v>104</v>
      </c>
      <c r="B82" s="25">
        <v>71.4</v>
      </c>
      <c r="C82" s="25">
        <v>42.3</v>
      </c>
      <c r="D82" s="10">
        <f t="shared" si="1"/>
        <v>0.9999666666666667</v>
      </c>
      <c r="E82" s="2">
        <v>300000</v>
      </c>
      <c r="F82" s="2">
        <v>0</v>
      </c>
      <c r="G82" s="2">
        <v>30000</v>
      </c>
      <c r="H82" s="1" t="s">
        <v>104</v>
      </c>
    </row>
    <row r="83" spans="2:7" ht="12.75">
      <c r="B83" s="25"/>
      <c r="C83" s="25"/>
      <c r="D83" s="10"/>
      <c r="E83" s="2"/>
      <c r="F83" s="2"/>
      <c r="G83" s="2"/>
    </row>
    <row r="84" spans="1:8" ht="12.75">
      <c r="A84" s="1" t="s">
        <v>105</v>
      </c>
      <c r="B84" s="25">
        <v>74.3</v>
      </c>
      <c r="C84" s="25">
        <v>38.5</v>
      </c>
      <c r="D84" s="10">
        <f t="shared" si="1"/>
        <v>0.9999</v>
      </c>
      <c r="E84" s="2">
        <v>150000</v>
      </c>
      <c r="F84" s="2">
        <v>0</v>
      </c>
      <c r="G84" s="2">
        <v>10000</v>
      </c>
      <c r="H84" s="1" t="s">
        <v>105</v>
      </c>
    </row>
    <row r="85" spans="2:7" ht="12.75">
      <c r="B85" s="25"/>
      <c r="C85" s="25"/>
      <c r="D85" s="10"/>
      <c r="E85" s="2"/>
      <c r="F85" s="2"/>
      <c r="G85"/>
    </row>
    <row r="86" spans="1:8" ht="12.75">
      <c r="A86" s="1" t="s">
        <v>106</v>
      </c>
      <c r="B86" s="25"/>
      <c r="C86" s="25"/>
      <c r="D86" s="10"/>
      <c r="E86" s="2"/>
      <c r="F86" s="2"/>
      <c r="G86"/>
      <c r="H86" s="1" t="s">
        <v>106</v>
      </c>
    </row>
    <row r="87" spans="1:8" ht="12.75">
      <c r="A87" t="s">
        <v>89</v>
      </c>
      <c r="B87" s="25">
        <v>104.2</v>
      </c>
      <c r="C87" s="25">
        <v>31</v>
      </c>
      <c r="D87" s="10">
        <f t="shared" si="1"/>
        <v>0.9999090909090909</v>
      </c>
      <c r="E87" s="2">
        <v>165000</v>
      </c>
      <c r="F87" s="2">
        <v>0</v>
      </c>
      <c r="G87" s="2">
        <v>11000</v>
      </c>
      <c r="H87" t="s">
        <v>89</v>
      </c>
    </row>
    <row r="88" spans="1:8" ht="12.75">
      <c r="A88" t="s">
        <v>19</v>
      </c>
      <c r="B88" s="25">
        <v>106.15</v>
      </c>
      <c r="C88" s="25">
        <v>31</v>
      </c>
      <c r="D88" s="10">
        <f t="shared" si="1"/>
        <v>0.9999</v>
      </c>
      <c r="E88" s="2">
        <v>500000</v>
      </c>
      <c r="F88" s="2">
        <v>0</v>
      </c>
      <c r="G88" s="2">
        <v>10000</v>
      </c>
      <c r="H88" t="s">
        <v>19</v>
      </c>
    </row>
    <row r="89" spans="1:8" ht="12.75">
      <c r="A89" t="s">
        <v>17</v>
      </c>
      <c r="B89" s="25">
        <v>107.5</v>
      </c>
      <c r="C89" s="25">
        <v>31</v>
      </c>
      <c r="D89" s="10">
        <f t="shared" si="1"/>
        <v>0.9999166666666667</v>
      </c>
      <c r="E89" s="2">
        <v>830000</v>
      </c>
      <c r="F89" s="2">
        <v>0</v>
      </c>
      <c r="G89" s="2">
        <v>12000</v>
      </c>
      <c r="H89" t="s">
        <v>17</v>
      </c>
    </row>
    <row r="90" spans="2:7" ht="12.75">
      <c r="B90" s="25"/>
      <c r="C90" s="25"/>
      <c r="D90" s="10"/>
      <c r="E90" s="2"/>
      <c r="F90" s="2"/>
      <c r="G90"/>
    </row>
    <row r="91" spans="1:8" ht="12.75">
      <c r="A91" s="1" t="s">
        <v>35</v>
      </c>
      <c r="B91" s="25"/>
      <c r="C91" s="25"/>
      <c r="D91" s="10"/>
      <c r="E91" s="2"/>
      <c r="F91" s="2"/>
      <c r="G91"/>
      <c r="H91" s="1" t="s">
        <v>35</v>
      </c>
    </row>
    <row r="92" spans="1:8" ht="12.75">
      <c r="A92" t="s">
        <v>89</v>
      </c>
      <c r="B92" s="25">
        <v>74.3</v>
      </c>
      <c r="C92" s="25">
        <v>40</v>
      </c>
      <c r="D92" s="10">
        <f t="shared" si="1"/>
        <v>0.9999</v>
      </c>
      <c r="E92" s="2">
        <v>150000</v>
      </c>
      <c r="F92" s="2">
        <v>0</v>
      </c>
      <c r="G92" s="2">
        <v>10000</v>
      </c>
      <c r="H92" t="s">
        <v>89</v>
      </c>
    </row>
    <row r="93" spans="1:8" ht="12.75">
      <c r="A93" t="s">
        <v>19</v>
      </c>
      <c r="B93" s="25">
        <v>76.35</v>
      </c>
      <c r="C93" s="25">
        <v>40</v>
      </c>
      <c r="D93" s="10">
        <f t="shared" si="1"/>
        <v>0.9999375</v>
      </c>
      <c r="E93" s="2">
        <v>250000</v>
      </c>
      <c r="F93" s="2">
        <v>0</v>
      </c>
      <c r="G93" s="2">
        <v>16000</v>
      </c>
      <c r="H93" t="s">
        <v>19</v>
      </c>
    </row>
    <row r="94" spans="1:8" ht="12.75">
      <c r="A94" t="s">
        <v>17</v>
      </c>
      <c r="B94" s="25">
        <v>78.35</v>
      </c>
      <c r="C94" s="25">
        <v>40</v>
      </c>
      <c r="D94" s="10">
        <f t="shared" si="1"/>
        <v>0.9999375</v>
      </c>
      <c r="E94" s="2">
        <v>350000</v>
      </c>
      <c r="F94" s="2">
        <v>0</v>
      </c>
      <c r="G94" s="2">
        <v>16000</v>
      </c>
      <c r="H94" t="s">
        <v>17</v>
      </c>
    </row>
    <row r="95" spans="2:7" ht="12.75">
      <c r="B95" s="25"/>
      <c r="C95" s="25"/>
      <c r="D95" s="10"/>
      <c r="E95" s="2"/>
      <c r="F95" s="2"/>
      <c r="G95"/>
    </row>
    <row r="96" spans="1:8" ht="12.75">
      <c r="A96" s="1" t="s">
        <v>107</v>
      </c>
      <c r="B96" s="25">
        <v>71.3</v>
      </c>
      <c r="C96" s="25">
        <v>41.05</v>
      </c>
      <c r="D96" s="10">
        <f t="shared" si="1"/>
        <v>0.99999375</v>
      </c>
      <c r="E96" s="2">
        <v>100000</v>
      </c>
      <c r="F96" s="2">
        <v>0</v>
      </c>
      <c r="G96" s="2">
        <v>160000</v>
      </c>
      <c r="H96" s="1" t="s">
        <v>107</v>
      </c>
    </row>
    <row r="97" spans="2:7" ht="12.75">
      <c r="B97" s="25"/>
      <c r="C97" s="25"/>
      <c r="D97" s="10"/>
      <c r="E97" s="2"/>
      <c r="F97" s="2"/>
      <c r="G97"/>
    </row>
    <row r="98" spans="1:8" ht="12.75">
      <c r="A98" s="1" t="s">
        <v>108</v>
      </c>
      <c r="B98" s="25">
        <v>72.3</v>
      </c>
      <c r="C98" s="25">
        <v>42.3</v>
      </c>
      <c r="D98" s="10">
        <f t="shared" si="1"/>
        <v>0.9999642857142857</v>
      </c>
      <c r="E98" s="2">
        <v>500000</v>
      </c>
      <c r="F98" s="2">
        <v>0</v>
      </c>
      <c r="G98" s="2">
        <v>28000</v>
      </c>
      <c r="H98" s="1" t="s">
        <v>108</v>
      </c>
    </row>
    <row r="99" spans="2:7" ht="12.75">
      <c r="B99" s="25"/>
      <c r="C99" s="25"/>
      <c r="D99" s="10"/>
      <c r="E99" s="2"/>
      <c r="F99" s="2"/>
      <c r="G99"/>
    </row>
    <row r="100" spans="1:8" ht="12.75">
      <c r="A100" s="1" t="s">
        <v>109</v>
      </c>
      <c r="B100" s="25"/>
      <c r="C100" s="25"/>
      <c r="D100" s="10"/>
      <c r="E100" s="2"/>
      <c r="F100" s="2"/>
      <c r="G100"/>
      <c r="H100" s="1" t="s">
        <v>109</v>
      </c>
    </row>
    <row r="101" spans="1:8" ht="12.75">
      <c r="A101" t="s">
        <v>89</v>
      </c>
      <c r="B101" s="25">
        <v>105.1</v>
      </c>
      <c r="C101" s="25">
        <v>40.3</v>
      </c>
      <c r="D101" s="10">
        <f t="shared" si="1"/>
        <v>0.9999375</v>
      </c>
      <c r="E101" s="2">
        <v>200000</v>
      </c>
      <c r="F101" s="2">
        <v>0</v>
      </c>
      <c r="G101" s="2">
        <v>16000</v>
      </c>
      <c r="H101" t="s">
        <v>89</v>
      </c>
    </row>
    <row r="102" spans="1:8" ht="12.75">
      <c r="A102" t="s">
        <v>110</v>
      </c>
      <c r="B102" s="25">
        <v>107.2</v>
      </c>
      <c r="C102" s="25">
        <v>40.3</v>
      </c>
      <c r="D102" s="10">
        <f t="shared" si="1"/>
        <v>0.9999375</v>
      </c>
      <c r="E102" s="2">
        <v>400000</v>
      </c>
      <c r="F102" s="2">
        <v>100000</v>
      </c>
      <c r="G102" s="2">
        <v>16000</v>
      </c>
      <c r="H102" t="s">
        <v>110</v>
      </c>
    </row>
    <row r="103" spans="1:8" ht="12.75">
      <c r="A103" t="s">
        <v>111</v>
      </c>
      <c r="B103" s="25">
        <v>108.45</v>
      </c>
      <c r="C103" s="25">
        <v>40.3</v>
      </c>
      <c r="D103" s="10">
        <f t="shared" si="1"/>
        <v>0.9999375</v>
      </c>
      <c r="E103" s="2">
        <v>600000</v>
      </c>
      <c r="F103" s="2">
        <v>0</v>
      </c>
      <c r="G103" s="2">
        <v>16000</v>
      </c>
      <c r="H103" t="s">
        <v>111</v>
      </c>
    </row>
    <row r="104" spans="1:8" ht="12.75">
      <c r="A104" t="s">
        <v>17</v>
      </c>
      <c r="B104" s="25">
        <v>110.05</v>
      </c>
      <c r="C104" s="25">
        <v>40.3</v>
      </c>
      <c r="D104" s="10">
        <f t="shared" si="1"/>
        <v>0.9999375</v>
      </c>
      <c r="E104" s="2">
        <v>800000</v>
      </c>
      <c r="F104" s="2">
        <v>100000</v>
      </c>
      <c r="G104" s="2">
        <v>16000</v>
      </c>
      <c r="H104" t="s">
        <v>17</v>
      </c>
    </row>
    <row r="105" spans="2:7" ht="12.75">
      <c r="B105" s="2"/>
      <c r="C105" s="2"/>
      <c r="D105" s="10"/>
      <c r="E105" s="2"/>
      <c r="F105" s="2"/>
      <c r="G105"/>
    </row>
    <row r="106" spans="2:7" ht="12.75">
      <c r="B106" s="2"/>
      <c r="C106" s="2"/>
      <c r="D106" s="10"/>
      <c r="E106" s="2"/>
      <c r="F106" s="2"/>
      <c r="G106"/>
    </row>
    <row r="107" spans="2:7" ht="12.75">
      <c r="B107" s="2"/>
      <c r="C107" s="2"/>
      <c r="D107" s="10"/>
      <c r="E107" s="2"/>
      <c r="F107" s="2"/>
      <c r="G107"/>
    </row>
    <row r="108" spans="2:7" ht="12.75">
      <c r="B108" s="2"/>
      <c r="C108" s="2"/>
      <c r="D108" s="10"/>
      <c r="E108" s="2"/>
      <c r="F108" s="2"/>
      <c r="G108"/>
    </row>
    <row r="109" spans="2:6" ht="12.75">
      <c r="B109" s="2"/>
      <c r="C109" s="2"/>
      <c r="D109" s="10"/>
      <c r="E109" s="2"/>
      <c r="F109" s="2"/>
    </row>
    <row r="110" spans="2:6" ht="12.75">
      <c r="B110" s="2"/>
      <c r="C110" s="2"/>
      <c r="D110" s="10"/>
      <c r="E110" s="2"/>
      <c r="F110" s="2"/>
    </row>
    <row r="111" spans="2:6" ht="12.75">
      <c r="B111" s="2"/>
      <c r="C111" s="2"/>
      <c r="D111" s="10"/>
      <c r="E111" s="2"/>
      <c r="F111" s="2"/>
    </row>
  </sheetData>
  <printOptions/>
  <pageMargins left="0.75" right="0.75" top="1" bottom="1" header="0.5" footer="0.5"/>
  <pageSetup orientation="landscape" paperSize="9" scale="85"/>
  <rowBreaks count="2" manualBreakCount="2">
    <brk id="38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OSU-CEEGS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Hazelton</dc:creator>
  <cp:keywords/>
  <dc:description/>
  <cp:lastModifiedBy>Bill Hazelton</cp:lastModifiedBy>
  <cp:lastPrinted>2011-10-10T20:35:43Z</cp:lastPrinted>
  <dcterms:created xsi:type="dcterms:W3CDTF">2005-03-04T20:22:12Z</dcterms:created>
  <cp:category/>
  <cp:version/>
  <cp:contentType/>
  <cp:contentStatus/>
</cp:coreProperties>
</file>